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rebiologicsltd.sharepoint.com/sites/fp/Accounting/Sprawozdania Finansowe/MISC/"/>
    </mc:Choice>
  </mc:AlternateContent>
  <xr:revisionPtr revIDLastSave="1047" documentId="8_{BEA3D3B9-85C5-477B-97B9-C186BD368EFE}" xr6:coauthVersionLast="47" xr6:coauthVersionMax="47" xr10:uidLastSave="{03EE576B-3CF8-43EA-A388-ADD4EF9D78C5}"/>
  <bookViews>
    <workbookView xWindow="-120" yWindow="-120" windowWidth="29040" windowHeight="15720" tabRatio="596" activeTab="2" xr2:uid="{00000000-000D-0000-FFFF-FFFF00000000}"/>
  </bookViews>
  <sheets>
    <sheet name="RZiS" sheetId="9" r:id="rId1"/>
    <sheet name="BILANS" sheetId="10" r:id="rId2"/>
    <sheet name="RPP" sheetId="19" r:id="rId3"/>
  </sheets>
  <definedNames>
    <definedName name="_Toc53504362" localSheetId="1">BILANS!$B$4</definedName>
    <definedName name="_xlnm.Print_Area" localSheetId="0">RZiS!$A$1:$W$44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9" l="1"/>
  <c r="C48" i="19"/>
  <c r="C47" i="19"/>
  <c r="C46" i="19"/>
  <c r="C44" i="19"/>
  <c r="C43" i="19"/>
  <c r="C42" i="19"/>
  <c r="C37" i="19"/>
  <c r="C34" i="19"/>
  <c r="C33" i="19"/>
  <c r="C31" i="19"/>
  <c r="C32" i="19"/>
  <c r="C30" i="19"/>
  <c r="C27" i="19"/>
  <c r="C26" i="19"/>
  <c r="C24" i="19"/>
  <c r="C23" i="19"/>
  <c r="C20" i="19"/>
  <c r="C19" i="19"/>
  <c r="C18" i="19"/>
  <c r="C17" i="19"/>
  <c r="C16" i="19"/>
  <c r="C14" i="19"/>
  <c r="C10" i="19"/>
  <c r="C8" i="19"/>
  <c r="C59" i="10"/>
  <c r="C55" i="10"/>
  <c r="C53" i="10"/>
  <c r="C51" i="10"/>
  <c r="C40" i="10"/>
  <c r="C31" i="10"/>
  <c r="C21" i="10"/>
  <c r="C19" i="10"/>
  <c r="C12" i="10"/>
  <c r="C48" i="9"/>
  <c r="C47" i="9"/>
  <c r="C44" i="9"/>
  <c r="C39" i="9"/>
  <c r="C33" i="9"/>
  <c r="C26" i="9"/>
  <c r="C30" i="9" s="1"/>
  <c r="C29" i="9"/>
  <c r="C28" i="9"/>
  <c r="C25" i="9"/>
  <c r="C24" i="9"/>
  <c r="C23" i="9"/>
  <c r="C21" i="9"/>
  <c r="C19" i="9"/>
  <c r="C49" i="19" l="1"/>
  <c r="C40" i="19"/>
  <c r="C15" i="19"/>
  <c r="C17" i="9"/>
  <c r="C14" i="9"/>
  <c r="C13" i="9"/>
  <c r="C15" i="9" l="1"/>
  <c r="E32" i="19" l="1"/>
  <c r="E34" i="19" s="1"/>
  <c r="E30" i="19"/>
  <c r="E40" i="19"/>
  <c r="E37" i="19"/>
  <c r="E15" i="19"/>
  <c r="E27" i="19" s="1"/>
  <c r="E14" i="19"/>
  <c r="E51" i="10"/>
  <c r="E40" i="10"/>
  <c r="E31" i="10"/>
  <c r="E23" i="10"/>
  <c r="E19" i="10"/>
  <c r="E21" i="10" s="1"/>
  <c r="E12" i="10"/>
  <c r="E44" i="19" l="1"/>
  <c r="E46" i="19"/>
  <c r="E49" i="19" s="1"/>
  <c r="E51" i="19" s="1"/>
  <c r="E53" i="10"/>
  <c r="E55" i="10"/>
  <c r="E59" i="10" s="1"/>
  <c r="E21" i="9" l="1"/>
  <c r="E15" i="9"/>
  <c r="E26" i="9" l="1"/>
  <c r="E30" i="9" s="1"/>
  <c r="E33" i="9" s="1"/>
  <c r="E39" i="9" s="1"/>
  <c r="E44" i="9" s="1"/>
  <c r="E8" i="19" l="1"/>
  <c r="K48" i="9"/>
  <c r="K47" i="9"/>
  <c r="K29" i="9"/>
  <c r="K23" i="9"/>
  <c r="I21" i="9"/>
  <c r="K20" i="9"/>
  <c r="K19" i="9"/>
  <c r="K17" i="9"/>
  <c r="K21" i="9" s="1"/>
  <c r="K14" i="9"/>
  <c r="K13" i="9"/>
  <c r="K43" i="19"/>
  <c r="K42" i="19"/>
  <c r="K38" i="19"/>
  <c r="K33" i="19" l="1"/>
  <c r="K24" i="19"/>
  <c r="K23" i="19"/>
  <c r="K22" i="19"/>
  <c r="K21" i="19"/>
  <c r="K20" i="19"/>
  <c r="K19" i="19"/>
  <c r="K18" i="19"/>
  <c r="K17" i="19"/>
  <c r="K16" i="19"/>
  <c r="K10" i="19"/>
  <c r="G32" i="19" l="1"/>
  <c r="I32" i="19"/>
  <c r="K32" i="19"/>
  <c r="K30" i="19"/>
  <c r="I30" i="19"/>
  <c r="G30" i="19"/>
  <c r="G34" i="19" s="1"/>
  <c r="G15" i="19"/>
  <c r="I15" i="19"/>
  <c r="K15" i="19"/>
  <c r="G14" i="19"/>
  <c r="I14" i="19"/>
  <c r="K14" i="19"/>
  <c r="G40" i="19"/>
  <c r="I40" i="19"/>
  <c r="K40" i="19"/>
  <c r="G37" i="19"/>
  <c r="I37" i="19"/>
  <c r="K37" i="19"/>
  <c r="K8" i="19"/>
  <c r="I8" i="19"/>
  <c r="G8" i="19"/>
  <c r="G51" i="10"/>
  <c r="I51" i="10"/>
  <c r="K51" i="10"/>
  <c r="G40" i="10"/>
  <c r="I40" i="10"/>
  <c r="K40" i="10"/>
  <c r="G31" i="10"/>
  <c r="I31" i="10"/>
  <c r="K31" i="10"/>
  <c r="G12" i="10"/>
  <c r="I12" i="10"/>
  <c r="K12" i="10"/>
  <c r="G19" i="10"/>
  <c r="I19" i="10"/>
  <c r="K19" i="10"/>
  <c r="G23" i="10"/>
  <c r="I23" i="10"/>
  <c r="K23" i="10"/>
  <c r="G21" i="9"/>
  <c r="M21" i="9"/>
  <c r="I53" i="10" l="1"/>
  <c r="I55" i="10" s="1"/>
  <c r="I21" i="10"/>
  <c r="I44" i="19"/>
  <c r="I34" i="19"/>
  <c r="I27" i="19"/>
  <c r="K53" i="10"/>
  <c r="K55" i="10" s="1"/>
  <c r="K21" i="10"/>
  <c r="K44" i="19"/>
  <c r="K34" i="19"/>
  <c r="K27" i="19"/>
  <c r="G44" i="19"/>
  <c r="G27" i="19"/>
  <c r="G53" i="10"/>
  <c r="G55" i="10" s="1"/>
  <c r="G21" i="10"/>
  <c r="K46" i="19" l="1"/>
  <c r="K47" i="19" s="1"/>
  <c r="I46" i="19"/>
  <c r="I49" i="19" s="1"/>
  <c r="I51" i="19" s="1"/>
  <c r="G46" i="19"/>
  <c r="G49" i="19" s="1"/>
  <c r="G51" i="19" s="1"/>
  <c r="I59" i="10"/>
  <c r="K59" i="10"/>
  <c r="K49" i="19"/>
  <c r="K51" i="19" s="1"/>
  <c r="G59" i="10"/>
  <c r="G47" i="19" l="1"/>
  <c r="I47" i="19"/>
  <c r="G15" i="9"/>
  <c r="G26" i="9" s="1"/>
  <c r="G30" i="9" s="1"/>
  <c r="G33" i="9" s="1"/>
  <c r="G39" i="9" s="1"/>
  <c r="G44" i="9" s="1"/>
  <c r="I15" i="9"/>
  <c r="I26" i="9" s="1"/>
  <c r="I30" i="9" s="1"/>
  <c r="I33" i="9" s="1"/>
  <c r="I39" i="9" s="1"/>
  <c r="I44" i="9" s="1"/>
  <c r="K15" i="9"/>
  <c r="K26" i="9" s="1"/>
  <c r="K30" i="9" s="1"/>
  <c r="K33" i="9" s="1"/>
  <c r="K39" i="9" s="1"/>
  <c r="K44" i="9" s="1"/>
  <c r="AE37" i="19" l="1"/>
  <c r="AE32" i="19"/>
  <c r="AE30" i="19"/>
  <c r="AE15" i="19"/>
  <c r="AC37" i="19"/>
  <c r="AC30" i="19"/>
  <c r="AC15" i="19"/>
  <c r="AC14" i="19"/>
  <c r="AE40" i="19"/>
  <c r="AE14" i="19"/>
  <c r="AC40" i="19"/>
  <c r="AC32" i="19"/>
  <c r="AC40" i="10"/>
  <c r="AC19" i="10"/>
  <c r="AC12" i="10"/>
  <c r="AC23" i="10"/>
  <c r="AE34" i="19" l="1"/>
  <c r="AC34" i="19"/>
  <c r="AC44" i="19"/>
  <c r="AE44" i="19"/>
  <c r="AE27" i="19"/>
  <c r="AE46" i="19" s="1"/>
  <c r="AE47" i="19" s="1"/>
  <c r="AC27" i="19"/>
  <c r="AC51" i="10"/>
  <c r="AC53" i="10" s="1"/>
  <c r="AC31" i="10"/>
  <c r="AC21" i="10"/>
  <c r="AC46" i="19" l="1"/>
  <c r="AC49" i="19" s="1"/>
  <c r="AE49" i="19"/>
  <c r="AC55" i="10"/>
  <c r="AC59" i="10" s="1"/>
  <c r="AC47" i="19" l="1"/>
  <c r="AA40" i="19"/>
  <c r="AA15" i="19"/>
  <c r="AA32" i="19"/>
  <c r="AA30" i="19"/>
  <c r="AA14" i="19"/>
  <c r="AA8" i="19"/>
  <c r="AA21" i="9"/>
  <c r="AA15" i="9"/>
  <c r="AA34" i="19" l="1"/>
  <c r="AA37" i="19"/>
  <c r="AA44" i="19" s="1"/>
  <c r="AA46" i="19" s="1"/>
  <c r="AA47" i="19" s="1"/>
  <c r="AA27" i="19"/>
  <c r="AA26" i="9"/>
  <c r="AA30" i="9" s="1"/>
  <c r="AA33" i="9" s="1"/>
  <c r="AA39" i="9" s="1"/>
  <c r="AA44" i="9" s="1"/>
  <c r="AA47" i="9" s="1"/>
  <c r="AA48" i="9" s="1"/>
  <c r="AA49" i="19" l="1"/>
  <c r="Y40" i="19" l="1"/>
  <c r="Y37" i="19"/>
  <c r="Y32" i="19"/>
  <c r="Y30" i="19"/>
  <c r="Y14" i="19"/>
  <c r="AE8" i="19"/>
  <c r="AC8" i="19"/>
  <c r="Y8" i="19"/>
  <c r="W8" i="19"/>
  <c r="U8" i="19"/>
  <c r="Q40" i="10"/>
  <c r="AA51" i="10"/>
  <c r="AA40" i="10"/>
  <c r="AA31" i="10"/>
  <c r="AA23" i="10"/>
  <c r="AA19" i="10"/>
  <c r="AA12" i="10"/>
  <c r="Y23" i="10"/>
  <c r="W23" i="10"/>
  <c r="U23" i="10"/>
  <c r="S23" i="10"/>
  <c r="Q23" i="10"/>
  <c r="O23" i="10"/>
  <c r="M23" i="10"/>
  <c r="Y21" i="9"/>
  <c r="Y15" i="9"/>
  <c r="Y34" i="19" l="1"/>
  <c r="AA21" i="10"/>
  <c r="AA53" i="10"/>
  <c r="AA55" i="10" s="1"/>
  <c r="Y15" i="19"/>
  <c r="Y27" i="19" s="1"/>
  <c r="Y46" i="19" s="1"/>
  <c r="Y47" i="19" s="1"/>
  <c r="Y44" i="19"/>
  <c r="Y26" i="9"/>
  <c r="Y30" i="9" s="1"/>
  <c r="Y33" i="9" s="1"/>
  <c r="Y39" i="9" s="1"/>
  <c r="Y44" i="9" s="1"/>
  <c r="Y47" i="9" s="1"/>
  <c r="Y48" i="9" s="1"/>
  <c r="AA59" i="10" l="1"/>
  <c r="Y49" i="19"/>
  <c r="U32" i="19" l="1"/>
  <c r="U30" i="19"/>
  <c r="W15" i="19"/>
  <c r="S15" i="19"/>
  <c r="Q15" i="19"/>
  <c r="W40" i="19"/>
  <c r="S40" i="19"/>
  <c r="Q40" i="19"/>
  <c r="W37" i="19"/>
  <c r="U37" i="19"/>
  <c r="S37" i="19"/>
  <c r="Q37" i="19"/>
  <c r="W32" i="19"/>
  <c r="S32" i="19"/>
  <c r="Q32" i="19"/>
  <c r="M32" i="19"/>
  <c r="W30" i="19"/>
  <c r="S30" i="19"/>
  <c r="Q30" i="19"/>
  <c r="M30" i="19"/>
  <c r="W14" i="19"/>
  <c r="Q14" i="19"/>
  <c r="S14" i="19"/>
  <c r="M40" i="19" l="1"/>
  <c r="U34" i="19"/>
  <c r="M37" i="19"/>
  <c r="S44" i="19"/>
  <c r="Q44" i="19"/>
  <c r="M34" i="19"/>
  <c r="M15" i="19"/>
  <c r="W44" i="19"/>
  <c r="U40" i="19"/>
  <c r="U44" i="19" s="1"/>
  <c r="U15" i="19"/>
  <c r="S34" i="19"/>
  <c r="W34" i="19"/>
  <c r="S27" i="19"/>
  <c r="M44" i="19"/>
  <c r="Q34" i="19"/>
  <c r="Q27" i="19"/>
  <c r="Q46" i="19" s="1"/>
  <c r="Q49" i="19" s="1"/>
  <c r="Q51" i="19" s="1"/>
  <c r="W27" i="19"/>
  <c r="W46" i="19" l="1"/>
  <c r="W49" i="19" s="1"/>
  <c r="S46" i="19"/>
  <c r="S47" i="19" s="1"/>
  <c r="Q47" i="19"/>
  <c r="W47" i="19" l="1"/>
  <c r="S49" i="19"/>
  <c r="M14" i="19" l="1"/>
  <c r="M27" i="19" s="1"/>
  <c r="M46" i="19" s="1"/>
  <c r="U14" i="19"/>
  <c r="U27" i="19" s="1"/>
  <c r="U46" i="19" s="1"/>
  <c r="U49" i="19" l="1"/>
  <c r="U47" i="19"/>
  <c r="M49" i="19"/>
  <c r="M47" i="19"/>
  <c r="Y51" i="10"/>
  <c r="W51" i="10"/>
  <c r="S51" i="10"/>
  <c r="Q51" i="10"/>
  <c r="Y40" i="10"/>
  <c r="W40" i="10"/>
  <c r="S40" i="10"/>
  <c r="Y31" i="10"/>
  <c r="W31" i="10"/>
  <c r="S31" i="10"/>
  <c r="Q31" i="10"/>
  <c r="M51" i="19"/>
  <c r="Y19" i="10"/>
  <c r="W19" i="10"/>
  <c r="S19" i="10"/>
  <c r="Q19" i="10"/>
  <c r="Y12" i="10"/>
  <c r="S12" i="10"/>
  <c r="Q12" i="10"/>
  <c r="AE21" i="9"/>
  <c r="AC21" i="9"/>
  <c r="W21" i="9"/>
  <c r="S21" i="9"/>
  <c r="Q21" i="9"/>
  <c r="AE15" i="9"/>
  <c r="AC15" i="9"/>
  <c r="W15" i="9"/>
  <c r="S15" i="9"/>
  <c r="Q15" i="9"/>
  <c r="AC26" i="9" l="1"/>
  <c r="AC30" i="9" s="1"/>
  <c r="AC33" i="9" s="1"/>
  <c r="AC39" i="9" s="1"/>
  <c r="AC44" i="9" s="1"/>
  <c r="Q21" i="10"/>
  <c r="S21" i="10"/>
  <c r="Y21" i="10"/>
  <c r="Q53" i="10"/>
  <c r="Q55" i="10" s="1"/>
  <c r="S53" i="10"/>
  <c r="S55" i="10" s="1"/>
  <c r="W53" i="10"/>
  <c r="W55" i="10" s="1"/>
  <c r="Y53" i="10"/>
  <c r="Y55" i="10" s="1"/>
  <c r="Q26" i="9"/>
  <c r="Q30" i="9" s="1"/>
  <c r="Q33" i="9" s="1"/>
  <c r="Q39" i="9" s="1"/>
  <c r="Q44" i="9" s="1"/>
  <c r="Q47" i="9" s="1"/>
  <c r="Q48" i="9" s="1"/>
  <c r="W26" i="9"/>
  <c r="W30" i="9" s="1"/>
  <c r="W33" i="9" s="1"/>
  <c r="W39" i="9" s="1"/>
  <c r="W44" i="9" s="1"/>
  <c r="S26" i="9"/>
  <c r="S30" i="9" s="1"/>
  <c r="S33" i="9" s="1"/>
  <c r="S39" i="9" s="1"/>
  <c r="S44" i="9" s="1"/>
  <c r="S47" i="9" s="1"/>
  <c r="S48" i="9" s="1"/>
  <c r="AE26" i="9"/>
  <c r="AE30" i="9" s="1"/>
  <c r="AE33" i="9" s="1"/>
  <c r="AE39" i="9" s="1"/>
  <c r="AE44" i="9" s="1"/>
  <c r="M15" i="9"/>
  <c r="M26" i="9" s="1"/>
  <c r="M30" i="9" s="1"/>
  <c r="M33" i="9" s="1"/>
  <c r="M39" i="9" s="1"/>
  <c r="M44" i="9" s="1"/>
  <c r="U15" i="9"/>
  <c r="M40" i="10"/>
  <c r="U21" i="9"/>
  <c r="U31" i="10"/>
  <c r="M31" i="10"/>
  <c r="U40" i="10"/>
  <c r="M51" i="10"/>
  <c r="U51" i="10"/>
  <c r="U53" i="10" s="1"/>
  <c r="U55" i="10" s="1"/>
  <c r="M12" i="10"/>
  <c r="U19" i="10"/>
  <c r="U12" i="10"/>
  <c r="U26" i="9" l="1"/>
  <c r="U30" i="9" s="1"/>
  <c r="U33" i="9" s="1"/>
  <c r="U39" i="9" s="1"/>
  <c r="U44" i="9" s="1"/>
  <c r="Y59" i="10"/>
  <c r="S59" i="10"/>
  <c r="Q59" i="10"/>
  <c r="M53" i="10"/>
  <c r="M55" i="10" s="1"/>
  <c r="U21" i="10"/>
  <c r="U59" i="10" s="1"/>
  <c r="M19" i="10"/>
  <c r="M21" i="10" s="1"/>
  <c r="M59" i="10" l="1"/>
  <c r="S8" i="19"/>
  <c r="Q8" i="19"/>
  <c r="O8" i="19"/>
  <c r="M8" i="19"/>
  <c r="W9" i="10" l="1"/>
  <c r="W12" i="10" s="1"/>
  <c r="W21" i="10" s="1"/>
  <c r="O37" i="19" l="1"/>
  <c r="O32" i="19"/>
  <c r="O30" i="19"/>
  <c r="O34" i="19" l="1"/>
  <c r="O40" i="19" l="1"/>
  <c r="O44" i="19" s="1"/>
  <c r="W59" i="10" l="1"/>
  <c r="O15" i="9" l="1"/>
  <c r="O15" i="19" l="1"/>
  <c r="O51" i="10"/>
  <c r="O12" i="10"/>
  <c r="O40" i="10"/>
  <c r="O19" i="10"/>
  <c r="O53" i="10" l="1"/>
  <c r="O21" i="10"/>
  <c r="O21" i="9" l="1"/>
  <c r="O26" i="9" s="1"/>
  <c r="O30" i="9" l="1"/>
  <c r="O33" i="9" s="1"/>
  <c r="O39" i="9" l="1"/>
  <c r="O44" i="9" s="1"/>
  <c r="O31" i="10"/>
  <c r="O14" i="19" l="1"/>
  <c r="O27" i="19" s="1"/>
  <c r="O55" i="10"/>
  <c r="O59" i="10" s="1"/>
  <c r="O46" i="19" l="1"/>
  <c r="O47" i="19" l="1"/>
  <c r="O49" i="19" l="1"/>
  <c r="O51" i="19" l="1"/>
</calcChain>
</file>

<file path=xl/sharedStrings.xml><?xml version="1.0" encoding="utf-8"?>
<sst xmlns="http://schemas.openxmlformats.org/spreadsheetml/2006/main" count="147" uniqueCount="133">
  <si>
    <t>(w tysiącach złotych)</t>
  </si>
  <si>
    <t>Działalność kontynuowana</t>
  </si>
  <si>
    <t>Przychody z usług komercyjnych</t>
  </si>
  <si>
    <t>Koszt własny sprzedanych usług</t>
  </si>
  <si>
    <t>Zysk (strata) brutto ze sprzedaży</t>
  </si>
  <si>
    <t>Przychody z dotacji</t>
  </si>
  <si>
    <t>Przychody ze sprzedanych wyników prac B&amp;R</t>
  </si>
  <si>
    <t>Koszty prac badawczych</t>
  </si>
  <si>
    <t>Koszty ogólne projektów</t>
  </si>
  <si>
    <t>Zysk (strata) na działalności B&amp;R</t>
  </si>
  <si>
    <t>Koszty ogólnego zarządu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</si>
  <si>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</si>
  <si>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</si>
  <si>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</si>
  <si>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</si>
  <si>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</si>
  <si>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 xml:space="preserve">Zysk (strata) brutto </t>
  </si>
  <si>
    <t>Zysk (strata) przed opodatkowaniem</t>
  </si>
  <si>
    <t>Podatek dochodowy</t>
  </si>
  <si>
    <t>Zysk (strata) netto z działalności kontynuowanej</t>
  </si>
  <si>
    <t>Działalność zaniechana</t>
  </si>
  <si>
    <t xml:space="preserve">Zysk (strata) z działalności zaniechanej </t>
  </si>
  <si>
    <t>Zysk (strata) netto za okres</t>
  </si>
  <si>
    <t>AKTYWA</t>
  </si>
  <si>
    <t>Aktywa trwałe</t>
  </si>
  <si>
    <t>Rzeczowe aktywa trwałe</t>
  </si>
  <si>
    <t>Wartości niematerialne</t>
  </si>
  <si>
    <t>Aktywa z tytułu podatku odroczonego</t>
  </si>
  <si>
    <t>Aktywa obrotowe</t>
  </si>
  <si>
    <t>Zapasy</t>
  </si>
  <si>
    <t>Należności z tytułu dostaw i usług oraz pozostałe należności</t>
  </si>
  <si>
    <t>Pozostałe aktywa</t>
  </si>
  <si>
    <t>Środki pieniężne i ich ekwiwalenty</t>
  </si>
  <si>
    <t>SUMA AKTYWÓW</t>
  </si>
  <si>
    <t>PASYWA</t>
  </si>
  <si>
    <t>Kapitał własny ogółem</t>
  </si>
  <si>
    <t>Kapitał podstawowy</t>
  </si>
  <si>
    <t>Kapitał zapasowy</t>
  </si>
  <si>
    <t>Pozostałe kapitały rezerwowe</t>
  </si>
  <si>
    <t>Zyski zatrzymane/Niepokryte straty</t>
  </si>
  <si>
    <t>Wynik okresu bieżącego</t>
  </si>
  <si>
    <t>Zobowiązania długoterminowe</t>
  </si>
  <si>
    <t>Rezerwa z tytułu odroczonego podatku dochodowego</t>
  </si>
  <si>
    <t>Rezerwy z tytułu świadczeń pracowniczych</t>
  </si>
  <si>
    <t>Oprocentowane kredyty i pożyczki</t>
  </si>
  <si>
    <t>Dotacje rozliczane w czasie</t>
  </si>
  <si>
    <t>Zobowiązania z tytułu leasingu</t>
  </si>
  <si>
    <t>Pozostałe zobowiązania</t>
  </si>
  <si>
    <t xml:space="preserve">Zobowiązania krótkoterminowe </t>
  </si>
  <si>
    <t xml:space="preserve">Zobowiązania z tytułu dostaw i usług </t>
  </si>
  <si>
    <t>Bieżąca część oprocentowanych kredytów i pożyczek</t>
  </si>
  <si>
    <t>Rezerwy na zobowiązania</t>
  </si>
  <si>
    <t>Przychody przyszłych okresów</t>
  </si>
  <si>
    <t>Zobowiązania razem</t>
  </si>
  <si>
    <t>SUMA PASYWÓW</t>
  </si>
  <si>
    <t>zgodność bilansowa</t>
  </si>
  <si>
    <t>Zysk (strata) netto</t>
  </si>
  <si>
    <t>Amortyzacja</t>
  </si>
  <si>
    <t>Inne całkowite dochody netto</t>
  </si>
  <si>
    <t>Całkowite dochody ogółem</t>
  </si>
  <si>
    <t>Inne całkowite dochody</t>
  </si>
  <si>
    <t>Jednostkowe sprawozdanie z sytuacji finansowej</t>
  </si>
  <si>
    <t>Jednostkowe sprawozdanie z zysków i strat i innych całkowitych dochodów</t>
  </si>
  <si>
    <t>Zysk (strata) na akcję w złotych</t>
  </si>
  <si>
    <t>Rozwodniony zysk na akcję w złotych</t>
  </si>
  <si>
    <t>Stan na 31.12.2020</t>
  </si>
  <si>
    <t>Stan na 31.12.2019</t>
  </si>
  <si>
    <t>Okres zakończony 31.12.2020</t>
  </si>
  <si>
    <t>Okres zakończony 31.12.2019</t>
  </si>
  <si>
    <t>Zmiana stanu rezerw</t>
  </si>
  <si>
    <t>DZIAŁALNOŚĆ OPERACYJNA</t>
  </si>
  <si>
    <t>Podatek dochodowy, w tym:</t>
  </si>
  <si>
    <t>Podatek dochodowy bieżący</t>
  </si>
  <si>
    <t>Podatek dochodowy odroczony</t>
  </si>
  <si>
    <t>Korekty</t>
  </si>
  <si>
    <t>Odsetki</t>
  </si>
  <si>
    <t>Program opcji menadżerskich</t>
  </si>
  <si>
    <t>Zmiana stanu należności</t>
  </si>
  <si>
    <t>Zmiana stanu zobowiązań, z wyjątkiem pożyczek i kredytów</t>
  </si>
  <si>
    <t>Zmiana stanu zapasów</t>
  </si>
  <si>
    <t>Zmiana stanu innych aktywów</t>
  </si>
  <si>
    <t>Zmiana stanu dotacji do rozliczenia</t>
  </si>
  <si>
    <t>(Zapłacony) zwrócony podatek dochodowy</t>
  </si>
  <si>
    <t>Inne korekty</t>
  </si>
  <si>
    <t xml:space="preserve">Przepływy pieniężne netto z działalności operacyjnej </t>
  </si>
  <si>
    <t>DZIAŁALNOŚĆ INWESTYCJNA</t>
  </si>
  <si>
    <t>I. Wpływy</t>
  </si>
  <si>
    <t>Wpływy ze sprzedaży rzeczowych aktywów trwałych oraz wartości niematerialnych</t>
  </si>
  <si>
    <t>II. Wydatki</t>
  </si>
  <si>
    <t>Przepływy pieniężne netto z działalności inwestycyjnej</t>
  </si>
  <si>
    <t>DZIAŁALNOŚĆ FINANSOWA</t>
  </si>
  <si>
    <t>Wpływy z emisji akcji</t>
  </si>
  <si>
    <t>Wpływy z udzielonych kredytów i pożyczek</t>
  </si>
  <si>
    <t>Wydatki z tytułu kredytów i pożyczek</t>
  </si>
  <si>
    <t>Wydatki z tytułu odsetek i prowizji</t>
  </si>
  <si>
    <t>Płatności zobowiązań z tytułu umów leasingu finansowego</t>
  </si>
  <si>
    <t>Przepływy pieniężne netto z działalności finansowej</t>
  </si>
  <si>
    <t>PRZEPŁYWY PIENIĘŻNE RAZEM</t>
  </si>
  <si>
    <t>ZMIANA STANU ŚRODKÓW PIENIĘŻNYCH I ICH EKWIWALENTÓW</t>
  </si>
  <si>
    <t>ŚRODKI PIENIĘŻNE NA POCZĄTEK OKRESU</t>
  </si>
  <si>
    <t>ŚRODKI PIENIĘŻNE NA KONIEC OKRESU</t>
  </si>
  <si>
    <t xml:space="preserve"> Jednostkowe sprawozdanie z przepływów pieniężnych </t>
  </si>
  <si>
    <t>Okres zakończony 31.03.2021</t>
  </si>
  <si>
    <t>Okres zakończony 30.09.2020</t>
  </si>
  <si>
    <t>Okres zakończony 30.06.2020</t>
  </si>
  <si>
    <t>Okres zakończony 31.03.2020</t>
  </si>
  <si>
    <t>Stan na 31.03.2021</t>
  </si>
  <si>
    <t>Stan na 30.09.2020</t>
  </si>
  <si>
    <t>Stan na 30.06.2020</t>
  </si>
  <si>
    <t>Stan na 31.03.2020</t>
  </si>
  <si>
    <t>Okres zakończony 31.12.2018</t>
  </si>
  <si>
    <t>Okres zakończony 31.12.2017</t>
  </si>
  <si>
    <t>okres zakończony 30.09.2019</t>
  </si>
  <si>
    <t>Dane w ujeciu kwartalnym</t>
  </si>
  <si>
    <t>Dane w ujęciu rocznym</t>
  </si>
  <si>
    <t>Stan na 31.12.2018</t>
  </si>
  <si>
    <t>Stan na 31.12.2017</t>
  </si>
  <si>
    <t>okres zakończony 30.06.2019</t>
  </si>
  <si>
    <t>Stan na 31.12.2016</t>
  </si>
  <si>
    <t>-</t>
  </si>
  <si>
    <t>Okres zakończony 31.12.2021</t>
  </si>
  <si>
    <t>Okres zakończony 30.09.2021</t>
  </si>
  <si>
    <t>Okres zakończony 30.06.2021</t>
  </si>
  <si>
    <t>Stan na 30.06.2021</t>
  </si>
  <si>
    <t>Stan na 30.09.2021</t>
  </si>
  <si>
    <t>Stan na 31.12.2021</t>
  </si>
  <si>
    <t>Długoterminowe aktywa finansowe wyceniane według wartości godziwej</t>
  </si>
  <si>
    <t>Krótkoterminowe aktywa finansowe wyceniane według wartości godziwej</t>
  </si>
  <si>
    <t>Wydatki na rzeczowy majątek trwały i wartości niematerialne oraz inne wydatki inwestycyjne</t>
  </si>
  <si>
    <t>Okres zakończony 31.03.2022</t>
  </si>
  <si>
    <t>Stan na 31.03.2022</t>
  </si>
  <si>
    <t>Okres zakończony 30.06.2022</t>
  </si>
  <si>
    <t>Stan na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</si>
</sst>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;\(#,##0.00\);\-"/>
    <numFmt numFmtId="166" formatCode="#,###,;\(#,###,\);\-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MS Sans Serif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8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</borders>
  <cellStyleXfs count="673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6" fillId="0" borderId="0">
      <alignment vertical="top"/>
    </xf>
    <xf numFmtId="0" fontId="9" fillId="0" borderId="0"/>
    <xf numFmtId="0" fontId="8" fillId="0" borderId="0"/>
    <xf numFmtId="0" fontId="12" fillId="0" borderId="0"/>
    <xf numFmtId="0" fontId="18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9" fontId="12" fillId="0" borderId="0" applyFont="0" applyFill="0" applyBorder="0" applyAlignment="0" applyProtection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5" fillId="0" borderId="0"/>
  </cellStyleXfs>
  <cellXfs count="69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19" fillId="0" borderId="0" xfId="0" applyFont="1"/>
    <xf numFmtId="0" fontId="28" fillId="0" borderId="0" xfId="0" applyFont="1" applyAlignment="1">
      <alignment horizontal="center" vertical="center" wrapText="1"/>
    </xf>
    <xf numFmtId="0" fontId="11" fillId="0" borderId="0" xfId="0" applyFont="1"/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/>
    <xf numFmtId="4" fontId="32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17" fillId="0" borderId="0" xfId="0" applyFont="1"/>
    <xf numFmtId="0" fontId="26" fillId="0" borderId="0" xfId="0" applyFont="1" applyAlignment="1">
      <alignment horizontal="right" vertical="center" wrapText="1"/>
    </xf>
    <xf numFmtId="37" fontId="24" fillId="2" borderId="0" xfId="0" applyNumberFormat="1" applyFont="1" applyFill="1" applyAlignment="1">
      <alignment horizontal="justify" wrapText="1"/>
    </xf>
    <xf numFmtId="0" fontId="33" fillId="0" borderId="0" xfId="0" applyFont="1"/>
    <xf numFmtId="37" fontId="33" fillId="4" borderId="0" xfId="0" applyNumberFormat="1" applyFont="1" applyFill="1" applyAlignment="1">
      <alignment horizontal="justify" wrapText="1"/>
    </xf>
    <xf numFmtId="37" fontId="34" fillId="4" borderId="0" xfId="0" applyNumberFormat="1" applyFont="1" applyFill="1" applyAlignment="1">
      <alignment horizontal="justify" wrapText="1"/>
    </xf>
    <xf numFmtId="164" fontId="25" fillId="0" borderId="0" xfId="1" applyFont="1" applyFill="1" applyBorder="1" applyAlignment="1">
      <alignment horizontal="left" vertical="center"/>
    </xf>
    <xf numFmtId="37" fontId="34" fillId="4" borderId="0" xfId="0" applyNumberFormat="1" applyFont="1" applyFill="1" applyAlignment="1">
      <alignment horizontal="left" wrapText="1"/>
    </xf>
    <xf numFmtId="4" fontId="22" fillId="2" borderId="0" xfId="0" applyNumberFormat="1" applyFont="1" applyFill="1" applyAlignment="1">
      <alignment horizontal="right" vertical="center" wrapText="1"/>
    </xf>
    <xf numFmtId="0" fontId="17" fillId="2" borderId="0" xfId="0" applyFont="1" applyFill="1"/>
    <xf numFmtId="4" fontId="22" fillId="0" borderId="0" xfId="0" applyNumberFormat="1" applyFont="1" applyAlignment="1">
      <alignment horizontal="right" vertical="center" wrapText="1"/>
    </xf>
    <xf numFmtId="165" fontId="36" fillId="0" borderId="0" xfId="0" applyNumberFormat="1" applyFont="1" applyAlignment="1">
      <alignment horizontal="right"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37" fontId="37" fillId="4" borderId="0" xfId="0" applyNumberFormat="1" applyFont="1" applyFill="1" applyAlignment="1">
      <alignment horizontal="justify" wrapText="1"/>
    </xf>
    <xf numFmtId="0" fontId="22" fillId="0" borderId="4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38" fillId="5" borderId="3" xfId="0" applyFont="1" applyFill="1" applyBorder="1" applyAlignment="1">
      <alignment horizontal="left" vertical="center" wrapText="1"/>
    </xf>
    <xf numFmtId="0" fontId="39" fillId="5" borderId="3" xfId="0" applyFont="1" applyFill="1" applyBorder="1" applyAlignment="1">
      <alignment horizontal="left" vertical="center" wrapText="1"/>
    </xf>
    <xf numFmtId="166" fontId="33" fillId="4" borderId="0" xfId="0" applyNumberFormat="1" applyFont="1" applyFill="1" applyAlignment="1">
      <alignment horizontal="right" wrapText="1"/>
    </xf>
    <xf numFmtId="166" fontId="33" fillId="0" borderId="0" xfId="0" applyNumberFormat="1" applyFont="1"/>
    <xf numFmtId="166" fontId="34" fillId="4" borderId="5" xfId="0" applyNumberFormat="1" applyFont="1" applyFill="1" applyBorder="1" applyAlignment="1">
      <alignment horizontal="right" wrapText="1"/>
    </xf>
    <xf numFmtId="166" fontId="25" fillId="0" borderId="0" xfId="1" applyNumberFormat="1" applyFont="1" applyFill="1" applyBorder="1" applyAlignment="1">
      <alignment horizontal="right" vertical="center"/>
    </xf>
    <xf numFmtId="166" fontId="34" fillId="4" borderId="0" xfId="0" applyNumberFormat="1" applyFont="1" applyFill="1" applyAlignment="1">
      <alignment horizontal="right" wrapText="1"/>
    </xf>
    <xf numFmtId="166" fontId="34" fillId="4" borderId="6" xfId="0" applyNumberFormat="1" applyFont="1" applyFill="1" applyBorder="1" applyAlignment="1">
      <alignment horizontal="right" wrapText="1"/>
    </xf>
    <xf numFmtId="166" fontId="39" fillId="5" borderId="3" xfId="0" applyNumberFormat="1" applyFont="1" applyFill="1" applyBorder="1" applyAlignment="1">
      <alignment horizontal="left" vertical="center" wrapText="1"/>
    </xf>
    <xf numFmtId="166" fontId="34" fillId="4" borderId="7" xfId="0" applyNumberFormat="1" applyFont="1" applyFill="1" applyBorder="1" applyAlignment="1">
      <alignment horizontal="right" wrapText="1"/>
    </xf>
    <xf numFmtId="166" fontId="22" fillId="2" borderId="0" xfId="0" applyNumberFormat="1" applyFont="1" applyFill="1" applyAlignment="1">
      <alignment horizontal="right" vertical="center" wrapText="1"/>
    </xf>
    <xf numFmtId="166" fontId="17" fillId="2" borderId="0" xfId="0" applyNumberFormat="1" applyFont="1" applyFill="1"/>
    <xf numFmtId="166" fontId="33" fillId="4" borderId="4" xfId="0" applyNumberFormat="1" applyFont="1" applyFill="1" applyBorder="1" applyAlignment="1">
      <alignment horizontal="right" wrapText="1"/>
    </xf>
    <xf numFmtId="166" fontId="24" fillId="2" borderId="2" xfId="0" applyNumberFormat="1" applyFont="1" applyFill="1" applyBorder="1" applyAlignment="1">
      <alignment horizontal="right" wrapText="1"/>
    </xf>
    <xf numFmtId="166" fontId="24" fillId="4" borderId="0" xfId="0" applyNumberFormat="1" applyFont="1" applyFill="1" applyAlignment="1">
      <alignment horizontal="center" wrapText="1"/>
    </xf>
    <xf numFmtId="166" fontId="17" fillId="0" borderId="0" xfId="0" applyNumberFormat="1" applyFont="1"/>
    <xf numFmtId="166" fontId="22" fillId="0" borderId="2" xfId="0" applyNumberFormat="1" applyFont="1" applyBorder="1" applyAlignment="1">
      <alignment horizontal="right" vertical="center" wrapText="1"/>
    </xf>
    <xf numFmtId="166" fontId="22" fillId="0" borderId="0" xfId="0" applyNumberFormat="1" applyFont="1" applyAlignment="1">
      <alignment horizontal="right" vertical="center" wrapText="1"/>
    </xf>
    <xf numFmtId="166" fontId="11" fillId="0" borderId="0" xfId="0" applyNumberFormat="1" applyFont="1"/>
    <xf numFmtId="166" fontId="10" fillId="4" borderId="0" xfId="0" applyNumberFormat="1" applyFont="1" applyFill="1" applyAlignment="1">
      <alignment horizontal="right" wrapText="1"/>
    </xf>
    <xf numFmtId="166" fontId="30" fillId="4" borderId="0" xfId="0" applyNumberFormat="1" applyFont="1" applyFill="1" applyAlignment="1">
      <alignment horizontal="right" wrapText="1"/>
    </xf>
    <xf numFmtId="166" fontId="30" fillId="0" borderId="0" xfId="0" applyNumberFormat="1" applyFont="1" applyAlignment="1">
      <alignment horizontal="right" wrapText="1"/>
    </xf>
    <xf numFmtId="166" fontId="10" fillId="2" borderId="2" xfId="0" applyNumberFormat="1" applyFont="1" applyFill="1" applyBorder="1" applyAlignment="1">
      <alignment horizontal="right" wrapText="1"/>
    </xf>
    <xf numFmtId="166" fontId="10" fillId="4" borderId="0" xfId="0" applyNumberFormat="1" applyFont="1" applyFill="1" applyAlignment="1">
      <alignment horizontal="center" wrapText="1"/>
    </xf>
    <xf numFmtId="166" fontId="29" fillId="0" borderId="0" xfId="0" applyNumberFormat="1" applyFont="1" applyAlignment="1">
      <alignment horizontal="right" vertical="center" wrapText="1"/>
    </xf>
    <xf numFmtId="166" fontId="31" fillId="4" borderId="6" xfId="0" applyNumberFormat="1" applyFont="1" applyFill="1" applyBorder="1" applyAlignment="1">
      <alignment horizontal="right" wrapText="1"/>
    </xf>
    <xf numFmtId="166" fontId="30" fillId="0" borderId="0" xfId="0" applyNumberFormat="1" applyFont="1"/>
    <xf numFmtId="166" fontId="27" fillId="0" borderId="0" xfId="0" applyNumberFormat="1" applyFont="1" applyAlignment="1">
      <alignment horizontal="right" vertical="center" wrapText="1"/>
    </xf>
    <xf numFmtId="165" fontId="33" fillId="4" borderId="0" xfId="1" applyNumberFormat="1" applyFont="1" applyFill="1" applyAlignment="1">
      <alignment horizontal="right" wrapText="1"/>
    </xf>
    <xf numFmtId="0" fontId="39" fillId="6" borderId="3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6" borderId="3" xfId="0" applyFont="1" applyFill="1" applyBorder="1" applyAlignment="1">
      <alignment horizontal="left" vertical="center" wrapText="1"/>
    </xf>
    <xf numFmtId="166" fontId="3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166" fontId="33" fillId="4" borderId="0" xfId="0" applyNumberFormat="1" applyFont="1" applyFill="1" applyAlignment="1">
      <alignment horizontal="center" wrapText="1"/>
    </xf>
    <xf numFmtId="166" fontId="33" fillId="4" borderId="4" xfId="0" applyNumberFormat="1" applyFont="1" applyFill="1" applyBorder="1" applyAlignment="1">
      <alignment horizontal="center" wrapText="1"/>
    </xf>
  </cellXfs>
  <cellStyles count="673">
    <cellStyle name="Dziesiętny" xfId="1" builtinId="3"/>
    <cellStyle name="Dziesiętny 10" xfId="189" xr:uid="{00000000-0005-0000-0000-000001000000}"/>
    <cellStyle name="Dziesiętny 10 2" xfId="510" xr:uid="{00000000-0005-0000-0000-000002000000}"/>
    <cellStyle name="Dziesiętny 11" xfId="350" xr:uid="{00000000-0005-0000-0000-000003000000}"/>
    <cellStyle name="Dziesiętny 12" xfId="671" xr:uid="{FADC567C-96D9-4DD0-A35F-86707437D15E}"/>
    <cellStyle name="Dziesiętny 2" xfId="5" xr:uid="{00000000-0005-0000-0000-000004000000}"/>
    <cellStyle name="Dziesiętny 2 2" xfId="11" xr:uid="{00000000-0005-0000-0000-000005000000}"/>
    <cellStyle name="Dziesiętny 2 2 2" xfId="29" xr:uid="{00000000-0005-0000-0000-000006000000}"/>
    <cellStyle name="Dziesiętny 2 2 2 2" xfId="58" xr:uid="{00000000-0005-0000-0000-000007000000}"/>
    <cellStyle name="Dziesiętny 2 2 2 2 2" xfId="99" xr:uid="{00000000-0005-0000-0000-000008000000}"/>
    <cellStyle name="Dziesiętny 2 2 2 2 2 2" xfId="180" xr:uid="{00000000-0005-0000-0000-000009000000}"/>
    <cellStyle name="Dziesiętny 2 2 2 2 2 2 2" xfId="341" xr:uid="{00000000-0005-0000-0000-00000A000000}"/>
    <cellStyle name="Dziesiętny 2 2 2 2 2 2 2 2" xfId="662" xr:uid="{00000000-0005-0000-0000-00000B000000}"/>
    <cellStyle name="Dziesiętny 2 2 2 2 2 2 3" xfId="502" xr:uid="{00000000-0005-0000-0000-00000C000000}"/>
    <cellStyle name="Dziesiętny 2 2 2 2 2 3" xfId="261" xr:uid="{00000000-0005-0000-0000-00000D000000}"/>
    <cellStyle name="Dziesiętny 2 2 2 2 2 3 2" xfId="582" xr:uid="{00000000-0005-0000-0000-00000E000000}"/>
    <cellStyle name="Dziesiętny 2 2 2 2 2 4" xfId="422" xr:uid="{00000000-0005-0000-0000-00000F000000}"/>
    <cellStyle name="Dziesiętny 2 2 2 2 3" xfId="140" xr:uid="{00000000-0005-0000-0000-000010000000}"/>
    <cellStyle name="Dziesiętny 2 2 2 2 3 2" xfId="301" xr:uid="{00000000-0005-0000-0000-000011000000}"/>
    <cellStyle name="Dziesiętny 2 2 2 2 3 2 2" xfId="622" xr:uid="{00000000-0005-0000-0000-000012000000}"/>
    <cellStyle name="Dziesiętny 2 2 2 2 3 3" xfId="462" xr:uid="{00000000-0005-0000-0000-000013000000}"/>
    <cellStyle name="Dziesiętny 2 2 2 2 4" xfId="221" xr:uid="{00000000-0005-0000-0000-000014000000}"/>
    <cellStyle name="Dziesiętny 2 2 2 2 4 2" xfId="542" xr:uid="{00000000-0005-0000-0000-000015000000}"/>
    <cellStyle name="Dziesiętny 2 2 2 2 5" xfId="382" xr:uid="{00000000-0005-0000-0000-000016000000}"/>
    <cellStyle name="Dziesiętny 2 2 2 3" xfId="79" xr:uid="{00000000-0005-0000-0000-000017000000}"/>
    <cellStyle name="Dziesiętny 2 2 2 3 2" xfId="160" xr:uid="{00000000-0005-0000-0000-000018000000}"/>
    <cellStyle name="Dziesiętny 2 2 2 3 2 2" xfId="321" xr:uid="{00000000-0005-0000-0000-000019000000}"/>
    <cellStyle name="Dziesiętny 2 2 2 3 2 2 2" xfId="642" xr:uid="{00000000-0005-0000-0000-00001A000000}"/>
    <cellStyle name="Dziesiętny 2 2 2 3 2 3" xfId="482" xr:uid="{00000000-0005-0000-0000-00001B000000}"/>
    <cellStyle name="Dziesiętny 2 2 2 3 3" xfId="241" xr:uid="{00000000-0005-0000-0000-00001C000000}"/>
    <cellStyle name="Dziesiętny 2 2 2 3 3 2" xfId="562" xr:uid="{00000000-0005-0000-0000-00001D000000}"/>
    <cellStyle name="Dziesiętny 2 2 2 3 4" xfId="402" xr:uid="{00000000-0005-0000-0000-00001E000000}"/>
    <cellStyle name="Dziesiętny 2 2 2 4" xfId="120" xr:uid="{00000000-0005-0000-0000-00001F000000}"/>
    <cellStyle name="Dziesiętny 2 2 2 4 2" xfId="281" xr:uid="{00000000-0005-0000-0000-000020000000}"/>
    <cellStyle name="Dziesiętny 2 2 2 4 2 2" xfId="602" xr:uid="{00000000-0005-0000-0000-000021000000}"/>
    <cellStyle name="Dziesiętny 2 2 2 4 3" xfId="442" xr:uid="{00000000-0005-0000-0000-000022000000}"/>
    <cellStyle name="Dziesiętny 2 2 2 5" xfId="201" xr:uid="{00000000-0005-0000-0000-000023000000}"/>
    <cellStyle name="Dziesiętny 2 2 2 5 2" xfId="522" xr:uid="{00000000-0005-0000-0000-000024000000}"/>
    <cellStyle name="Dziesiętny 2 2 2 6" xfId="362" xr:uid="{00000000-0005-0000-0000-000025000000}"/>
    <cellStyle name="Dziesiętny 2 2 3" xfId="28" xr:uid="{00000000-0005-0000-0000-000026000000}"/>
    <cellStyle name="Dziesiętny 2 2 3 2" xfId="57" xr:uid="{00000000-0005-0000-0000-000027000000}"/>
    <cellStyle name="Dziesiętny 2 2 3 2 2" xfId="98" xr:uid="{00000000-0005-0000-0000-000028000000}"/>
    <cellStyle name="Dziesiętny 2 2 3 2 2 2" xfId="179" xr:uid="{00000000-0005-0000-0000-000029000000}"/>
    <cellStyle name="Dziesiętny 2 2 3 2 2 2 2" xfId="340" xr:uid="{00000000-0005-0000-0000-00002A000000}"/>
    <cellStyle name="Dziesiętny 2 2 3 2 2 2 2 2" xfId="661" xr:uid="{00000000-0005-0000-0000-00002B000000}"/>
    <cellStyle name="Dziesiętny 2 2 3 2 2 2 3" xfId="501" xr:uid="{00000000-0005-0000-0000-00002C000000}"/>
    <cellStyle name="Dziesiętny 2 2 3 2 2 3" xfId="260" xr:uid="{00000000-0005-0000-0000-00002D000000}"/>
    <cellStyle name="Dziesiętny 2 2 3 2 2 3 2" xfId="581" xr:uid="{00000000-0005-0000-0000-00002E000000}"/>
    <cellStyle name="Dziesiętny 2 2 3 2 2 4" xfId="421" xr:uid="{00000000-0005-0000-0000-00002F000000}"/>
    <cellStyle name="Dziesiętny 2 2 3 2 3" xfId="139" xr:uid="{00000000-0005-0000-0000-000030000000}"/>
    <cellStyle name="Dziesiętny 2 2 3 2 3 2" xfId="300" xr:uid="{00000000-0005-0000-0000-000031000000}"/>
    <cellStyle name="Dziesiętny 2 2 3 2 3 2 2" xfId="621" xr:uid="{00000000-0005-0000-0000-000032000000}"/>
    <cellStyle name="Dziesiętny 2 2 3 2 3 3" xfId="461" xr:uid="{00000000-0005-0000-0000-000033000000}"/>
    <cellStyle name="Dziesiętny 2 2 3 2 4" xfId="220" xr:uid="{00000000-0005-0000-0000-000034000000}"/>
    <cellStyle name="Dziesiętny 2 2 3 2 4 2" xfId="541" xr:uid="{00000000-0005-0000-0000-000035000000}"/>
    <cellStyle name="Dziesiętny 2 2 3 2 5" xfId="381" xr:uid="{00000000-0005-0000-0000-000036000000}"/>
    <cellStyle name="Dziesiętny 2 2 3 3" xfId="78" xr:uid="{00000000-0005-0000-0000-000037000000}"/>
    <cellStyle name="Dziesiętny 2 2 3 3 2" xfId="159" xr:uid="{00000000-0005-0000-0000-000038000000}"/>
    <cellStyle name="Dziesiętny 2 2 3 3 2 2" xfId="320" xr:uid="{00000000-0005-0000-0000-000039000000}"/>
    <cellStyle name="Dziesiętny 2 2 3 3 2 2 2" xfId="641" xr:uid="{00000000-0005-0000-0000-00003A000000}"/>
    <cellStyle name="Dziesiętny 2 2 3 3 2 3" xfId="481" xr:uid="{00000000-0005-0000-0000-00003B000000}"/>
    <cellStyle name="Dziesiętny 2 2 3 3 3" xfId="240" xr:uid="{00000000-0005-0000-0000-00003C000000}"/>
    <cellStyle name="Dziesiętny 2 2 3 3 3 2" xfId="561" xr:uid="{00000000-0005-0000-0000-00003D000000}"/>
    <cellStyle name="Dziesiętny 2 2 3 3 4" xfId="401" xr:uid="{00000000-0005-0000-0000-00003E000000}"/>
    <cellStyle name="Dziesiętny 2 2 3 4" xfId="119" xr:uid="{00000000-0005-0000-0000-00003F000000}"/>
    <cellStyle name="Dziesiętny 2 2 3 4 2" xfId="280" xr:uid="{00000000-0005-0000-0000-000040000000}"/>
    <cellStyle name="Dziesiętny 2 2 3 4 2 2" xfId="601" xr:uid="{00000000-0005-0000-0000-000041000000}"/>
    <cellStyle name="Dziesiętny 2 2 3 4 3" xfId="441" xr:uid="{00000000-0005-0000-0000-000042000000}"/>
    <cellStyle name="Dziesiętny 2 2 3 5" xfId="200" xr:uid="{00000000-0005-0000-0000-000043000000}"/>
    <cellStyle name="Dziesiętny 2 2 3 5 2" xfId="521" xr:uid="{00000000-0005-0000-0000-000044000000}"/>
    <cellStyle name="Dziesiętny 2 2 3 6" xfId="361" xr:uid="{00000000-0005-0000-0000-000045000000}"/>
    <cellStyle name="Dziesiętny 2 2 4" xfId="50" xr:uid="{00000000-0005-0000-0000-000046000000}"/>
    <cellStyle name="Dziesiętny 2 2 4 2" xfId="91" xr:uid="{00000000-0005-0000-0000-000047000000}"/>
    <cellStyle name="Dziesiętny 2 2 4 2 2" xfId="172" xr:uid="{00000000-0005-0000-0000-000048000000}"/>
    <cellStyle name="Dziesiętny 2 2 4 2 2 2" xfId="333" xr:uid="{00000000-0005-0000-0000-000049000000}"/>
    <cellStyle name="Dziesiętny 2 2 4 2 2 2 2" xfId="654" xr:uid="{00000000-0005-0000-0000-00004A000000}"/>
    <cellStyle name="Dziesiętny 2 2 4 2 2 3" xfId="494" xr:uid="{00000000-0005-0000-0000-00004B000000}"/>
    <cellStyle name="Dziesiętny 2 2 4 2 3" xfId="253" xr:uid="{00000000-0005-0000-0000-00004C000000}"/>
    <cellStyle name="Dziesiętny 2 2 4 2 3 2" xfId="574" xr:uid="{00000000-0005-0000-0000-00004D000000}"/>
    <cellStyle name="Dziesiętny 2 2 4 2 4" xfId="414" xr:uid="{00000000-0005-0000-0000-00004E000000}"/>
    <cellStyle name="Dziesiętny 2 2 4 3" xfId="132" xr:uid="{00000000-0005-0000-0000-00004F000000}"/>
    <cellStyle name="Dziesiętny 2 2 4 3 2" xfId="293" xr:uid="{00000000-0005-0000-0000-000050000000}"/>
    <cellStyle name="Dziesiętny 2 2 4 3 2 2" xfId="614" xr:uid="{00000000-0005-0000-0000-000051000000}"/>
    <cellStyle name="Dziesiętny 2 2 4 3 3" xfId="454" xr:uid="{00000000-0005-0000-0000-000052000000}"/>
    <cellStyle name="Dziesiętny 2 2 4 4" xfId="213" xr:uid="{00000000-0005-0000-0000-000053000000}"/>
    <cellStyle name="Dziesiętny 2 2 4 4 2" xfId="534" xr:uid="{00000000-0005-0000-0000-000054000000}"/>
    <cellStyle name="Dziesiętny 2 2 4 5" xfId="374" xr:uid="{00000000-0005-0000-0000-000055000000}"/>
    <cellStyle name="Dziesiętny 2 2 5" xfId="71" xr:uid="{00000000-0005-0000-0000-000056000000}"/>
    <cellStyle name="Dziesiętny 2 2 5 2" xfId="152" xr:uid="{00000000-0005-0000-0000-000057000000}"/>
    <cellStyle name="Dziesiętny 2 2 5 2 2" xfId="313" xr:uid="{00000000-0005-0000-0000-000058000000}"/>
    <cellStyle name="Dziesiętny 2 2 5 2 2 2" xfId="634" xr:uid="{00000000-0005-0000-0000-000059000000}"/>
    <cellStyle name="Dziesiętny 2 2 5 2 3" xfId="474" xr:uid="{00000000-0005-0000-0000-00005A000000}"/>
    <cellStyle name="Dziesiętny 2 2 5 3" xfId="233" xr:uid="{00000000-0005-0000-0000-00005B000000}"/>
    <cellStyle name="Dziesiętny 2 2 5 3 2" xfId="554" xr:uid="{00000000-0005-0000-0000-00005C000000}"/>
    <cellStyle name="Dziesiętny 2 2 5 4" xfId="394" xr:uid="{00000000-0005-0000-0000-00005D000000}"/>
    <cellStyle name="Dziesiętny 2 2 6" xfId="112" xr:uid="{00000000-0005-0000-0000-00005E000000}"/>
    <cellStyle name="Dziesiętny 2 2 6 2" xfId="273" xr:uid="{00000000-0005-0000-0000-00005F000000}"/>
    <cellStyle name="Dziesiętny 2 2 6 2 2" xfId="594" xr:uid="{00000000-0005-0000-0000-000060000000}"/>
    <cellStyle name="Dziesiętny 2 2 6 3" xfId="434" xr:uid="{00000000-0005-0000-0000-000061000000}"/>
    <cellStyle name="Dziesiętny 2 2 7" xfId="193" xr:uid="{00000000-0005-0000-0000-000062000000}"/>
    <cellStyle name="Dziesiętny 2 2 7 2" xfId="514" xr:uid="{00000000-0005-0000-0000-000063000000}"/>
    <cellStyle name="Dziesiętny 2 2 8" xfId="354" xr:uid="{00000000-0005-0000-0000-000064000000}"/>
    <cellStyle name="Dziesiętny 2 3" xfId="30" xr:uid="{00000000-0005-0000-0000-000065000000}"/>
    <cellStyle name="Dziesiętny 2 3 2" xfId="59" xr:uid="{00000000-0005-0000-0000-000066000000}"/>
    <cellStyle name="Dziesiętny 2 3 2 2" xfId="100" xr:uid="{00000000-0005-0000-0000-000067000000}"/>
    <cellStyle name="Dziesiętny 2 3 2 2 2" xfId="181" xr:uid="{00000000-0005-0000-0000-000068000000}"/>
    <cellStyle name="Dziesiętny 2 3 2 2 2 2" xfId="342" xr:uid="{00000000-0005-0000-0000-000069000000}"/>
    <cellStyle name="Dziesiętny 2 3 2 2 2 2 2" xfId="663" xr:uid="{00000000-0005-0000-0000-00006A000000}"/>
    <cellStyle name="Dziesiętny 2 3 2 2 2 3" xfId="503" xr:uid="{00000000-0005-0000-0000-00006B000000}"/>
    <cellStyle name="Dziesiętny 2 3 2 2 3" xfId="262" xr:uid="{00000000-0005-0000-0000-00006C000000}"/>
    <cellStyle name="Dziesiętny 2 3 2 2 3 2" xfId="583" xr:uid="{00000000-0005-0000-0000-00006D000000}"/>
    <cellStyle name="Dziesiętny 2 3 2 2 4" xfId="423" xr:uid="{00000000-0005-0000-0000-00006E000000}"/>
    <cellStyle name="Dziesiętny 2 3 2 3" xfId="141" xr:uid="{00000000-0005-0000-0000-00006F000000}"/>
    <cellStyle name="Dziesiętny 2 3 2 3 2" xfId="302" xr:uid="{00000000-0005-0000-0000-000070000000}"/>
    <cellStyle name="Dziesiętny 2 3 2 3 2 2" xfId="623" xr:uid="{00000000-0005-0000-0000-000071000000}"/>
    <cellStyle name="Dziesiętny 2 3 2 3 3" xfId="463" xr:uid="{00000000-0005-0000-0000-000072000000}"/>
    <cellStyle name="Dziesiętny 2 3 2 4" xfId="222" xr:uid="{00000000-0005-0000-0000-000073000000}"/>
    <cellStyle name="Dziesiętny 2 3 2 4 2" xfId="543" xr:uid="{00000000-0005-0000-0000-000074000000}"/>
    <cellStyle name="Dziesiętny 2 3 2 5" xfId="383" xr:uid="{00000000-0005-0000-0000-000075000000}"/>
    <cellStyle name="Dziesiętny 2 3 3" xfId="80" xr:uid="{00000000-0005-0000-0000-000076000000}"/>
    <cellStyle name="Dziesiętny 2 3 3 2" xfId="161" xr:uid="{00000000-0005-0000-0000-000077000000}"/>
    <cellStyle name="Dziesiętny 2 3 3 2 2" xfId="322" xr:uid="{00000000-0005-0000-0000-000078000000}"/>
    <cellStyle name="Dziesiętny 2 3 3 2 2 2" xfId="643" xr:uid="{00000000-0005-0000-0000-000079000000}"/>
    <cellStyle name="Dziesiętny 2 3 3 2 3" xfId="483" xr:uid="{00000000-0005-0000-0000-00007A000000}"/>
    <cellStyle name="Dziesiętny 2 3 3 3" xfId="242" xr:uid="{00000000-0005-0000-0000-00007B000000}"/>
    <cellStyle name="Dziesiętny 2 3 3 3 2" xfId="563" xr:uid="{00000000-0005-0000-0000-00007C000000}"/>
    <cellStyle name="Dziesiętny 2 3 3 4" xfId="403" xr:uid="{00000000-0005-0000-0000-00007D000000}"/>
    <cellStyle name="Dziesiętny 2 3 4" xfId="121" xr:uid="{00000000-0005-0000-0000-00007E000000}"/>
    <cellStyle name="Dziesiętny 2 3 4 2" xfId="282" xr:uid="{00000000-0005-0000-0000-00007F000000}"/>
    <cellStyle name="Dziesiętny 2 3 4 2 2" xfId="603" xr:uid="{00000000-0005-0000-0000-000080000000}"/>
    <cellStyle name="Dziesiętny 2 3 4 3" xfId="443" xr:uid="{00000000-0005-0000-0000-000081000000}"/>
    <cellStyle name="Dziesiętny 2 3 5" xfId="202" xr:uid="{00000000-0005-0000-0000-000082000000}"/>
    <cellStyle name="Dziesiętny 2 3 5 2" xfId="523" xr:uid="{00000000-0005-0000-0000-000083000000}"/>
    <cellStyle name="Dziesiętny 2 3 6" xfId="363" xr:uid="{00000000-0005-0000-0000-000084000000}"/>
    <cellStyle name="Dziesiętny 2 4" xfId="27" xr:uid="{00000000-0005-0000-0000-000085000000}"/>
    <cellStyle name="Dziesiętny 2 4 2" xfId="56" xr:uid="{00000000-0005-0000-0000-000086000000}"/>
    <cellStyle name="Dziesiętny 2 4 2 2" xfId="97" xr:uid="{00000000-0005-0000-0000-000087000000}"/>
    <cellStyle name="Dziesiętny 2 4 2 2 2" xfId="178" xr:uid="{00000000-0005-0000-0000-000088000000}"/>
    <cellStyle name="Dziesiętny 2 4 2 2 2 2" xfId="339" xr:uid="{00000000-0005-0000-0000-000089000000}"/>
    <cellStyle name="Dziesiętny 2 4 2 2 2 2 2" xfId="660" xr:uid="{00000000-0005-0000-0000-00008A000000}"/>
    <cellStyle name="Dziesiętny 2 4 2 2 2 3" xfId="500" xr:uid="{00000000-0005-0000-0000-00008B000000}"/>
    <cellStyle name="Dziesiętny 2 4 2 2 3" xfId="259" xr:uid="{00000000-0005-0000-0000-00008C000000}"/>
    <cellStyle name="Dziesiętny 2 4 2 2 3 2" xfId="580" xr:uid="{00000000-0005-0000-0000-00008D000000}"/>
    <cellStyle name="Dziesiętny 2 4 2 2 4" xfId="420" xr:uid="{00000000-0005-0000-0000-00008E000000}"/>
    <cellStyle name="Dziesiętny 2 4 2 3" xfId="138" xr:uid="{00000000-0005-0000-0000-00008F000000}"/>
    <cellStyle name="Dziesiętny 2 4 2 3 2" xfId="299" xr:uid="{00000000-0005-0000-0000-000090000000}"/>
    <cellStyle name="Dziesiętny 2 4 2 3 2 2" xfId="620" xr:uid="{00000000-0005-0000-0000-000091000000}"/>
    <cellStyle name="Dziesiętny 2 4 2 3 3" xfId="460" xr:uid="{00000000-0005-0000-0000-000092000000}"/>
    <cellStyle name="Dziesiętny 2 4 2 4" xfId="219" xr:uid="{00000000-0005-0000-0000-000093000000}"/>
    <cellStyle name="Dziesiętny 2 4 2 4 2" xfId="540" xr:uid="{00000000-0005-0000-0000-000094000000}"/>
    <cellStyle name="Dziesiętny 2 4 2 5" xfId="380" xr:uid="{00000000-0005-0000-0000-000095000000}"/>
    <cellStyle name="Dziesiętny 2 4 3" xfId="77" xr:uid="{00000000-0005-0000-0000-000096000000}"/>
    <cellStyle name="Dziesiętny 2 4 3 2" xfId="158" xr:uid="{00000000-0005-0000-0000-000097000000}"/>
    <cellStyle name="Dziesiętny 2 4 3 2 2" xfId="319" xr:uid="{00000000-0005-0000-0000-000098000000}"/>
    <cellStyle name="Dziesiętny 2 4 3 2 2 2" xfId="640" xr:uid="{00000000-0005-0000-0000-000099000000}"/>
    <cellStyle name="Dziesiętny 2 4 3 2 3" xfId="480" xr:uid="{00000000-0005-0000-0000-00009A000000}"/>
    <cellStyle name="Dziesiętny 2 4 3 3" xfId="239" xr:uid="{00000000-0005-0000-0000-00009B000000}"/>
    <cellStyle name="Dziesiętny 2 4 3 3 2" xfId="560" xr:uid="{00000000-0005-0000-0000-00009C000000}"/>
    <cellStyle name="Dziesiętny 2 4 3 4" xfId="400" xr:uid="{00000000-0005-0000-0000-00009D000000}"/>
    <cellStyle name="Dziesiętny 2 4 4" xfId="118" xr:uid="{00000000-0005-0000-0000-00009E000000}"/>
    <cellStyle name="Dziesiętny 2 4 4 2" xfId="279" xr:uid="{00000000-0005-0000-0000-00009F000000}"/>
    <cellStyle name="Dziesiętny 2 4 4 2 2" xfId="600" xr:uid="{00000000-0005-0000-0000-0000A0000000}"/>
    <cellStyle name="Dziesiętny 2 4 4 3" xfId="440" xr:uid="{00000000-0005-0000-0000-0000A1000000}"/>
    <cellStyle name="Dziesiętny 2 4 5" xfId="199" xr:uid="{00000000-0005-0000-0000-0000A2000000}"/>
    <cellStyle name="Dziesiętny 2 4 5 2" xfId="520" xr:uid="{00000000-0005-0000-0000-0000A3000000}"/>
    <cellStyle name="Dziesiętny 2 4 6" xfId="360" xr:uid="{00000000-0005-0000-0000-0000A4000000}"/>
    <cellStyle name="Dziesiętny 2 5" xfId="47" xr:uid="{00000000-0005-0000-0000-0000A5000000}"/>
    <cellStyle name="Dziesiętny 2 5 2" xfId="88" xr:uid="{00000000-0005-0000-0000-0000A6000000}"/>
    <cellStyle name="Dziesiętny 2 5 2 2" xfId="169" xr:uid="{00000000-0005-0000-0000-0000A7000000}"/>
    <cellStyle name="Dziesiętny 2 5 2 2 2" xfId="330" xr:uid="{00000000-0005-0000-0000-0000A8000000}"/>
    <cellStyle name="Dziesiętny 2 5 2 2 2 2" xfId="651" xr:uid="{00000000-0005-0000-0000-0000A9000000}"/>
    <cellStyle name="Dziesiętny 2 5 2 2 3" xfId="491" xr:uid="{00000000-0005-0000-0000-0000AA000000}"/>
    <cellStyle name="Dziesiętny 2 5 2 3" xfId="250" xr:uid="{00000000-0005-0000-0000-0000AB000000}"/>
    <cellStyle name="Dziesiętny 2 5 2 3 2" xfId="571" xr:uid="{00000000-0005-0000-0000-0000AC000000}"/>
    <cellStyle name="Dziesiętny 2 5 2 4" xfId="411" xr:uid="{00000000-0005-0000-0000-0000AD000000}"/>
    <cellStyle name="Dziesiętny 2 5 3" xfId="129" xr:uid="{00000000-0005-0000-0000-0000AE000000}"/>
    <cellStyle name="Dziesiętny 2 5 3 2" xfId="290" xr:uid="{00000000-0005-0000-0000-0000AF000000}"/>
    <cellStyle name="Dziesiętny 2 5 3 2 2" xfId="611" xr:uid="{00000000-0005-0000-0000-0000B0000000}"/>
    <cellStyle name="Dziesiętny 2 5 3 3" xfId="451" xr:uid="{00000000-0005-0000-0000-0000B1000000}"/>
    <cellStyle name="Dziesiętny 2 5 4" xfId="210" xr:uid="{00000000-0005-0000-0000-0000B2000000}"/>
    <cellStyle name="Dziesiętny 2 5 4 2" xfId="531" xr:uid="{00000000-0005-0000-0000-0000B3000000}"/>
    <cellStyle name="Dziesiętny 2 5 5" xfId="371" xr:uid="{00000000-0005-0000-0000-0000B4000000}"/>
    <cellStyle name="Dziesiętny 2 6" xfId="68" xr:uid="{00000000-0005-0000-0000-0000B5000000}"/>
    <cellStyle name="Dziesiętny 2 6 2" xfId="149" xr:uid="{00000000-0005-0000-0000-0000B6000000}"/>
    <cellStyle name="Dziesiętny 2 6 2 2" xfId="310" xr:uid="{00000000-0005-0000-0000-0000B7000000}"/>
    <cellStyle name="Dziesiętny 2 6 2 2 2" xfId="631" xr:uid="{00000000-0005-0000-0000-0000B8000000}"/>
    <cellStyle name="Dziesiętny 2 6 2 3" xfId="471" xr:uid="{00000000-0005-0000-0000-0000B9000000}"/>
    <cellStyle name="Dziesiętny 2 6 3" xfId="230" xr:uid="{00000000-0005-0000-0000-0000BA000000}"/>
    <cellStyle name="Dziesiętny 2 6 3 2" xfId="551" xr:uid="{00000000-0005-0000-0000-0000BB000000}"/>
    <cellStyle name="Dziesiętny 2 6 4" xfId="391" xr:uid="{00000000-0005-0000-0000-0000BC000000}"/>
    <cellStyle name="Dziesiętny 2 7" xfId="109" xr:uid="{00000000-0005-0000-0000-0000BD000000}"/>
    <cellStyle name="Dziesiętny 2 7 2" xfId="270" xr:uid="{00000000-0005-0000-0000-0000BE000000}"/>
    <cellStyle name="Dziesiętny 2 7 2 2" xfId="591" xr:uid="{00000000-0005-0000-0000-0000BF000000}"/>
    <cellStyle name="Dziesiętny 2 7 3" xfId="431" xr:uid="{00000000-0005-0000-0000-0000C0000000}"/>
    <cellStyle name="Dziesiętny 2 8" xfId="190" xr:uid="{00000000-0005-0000-0000-0000C1000000}"/>
    <cellStyle name="Dziesiętny 2 8 2" xfId="511" xr:uid="{00000000-0005-0000-0000-0000C2000000}"/>
    <cellStyle name="Dziesiętny 2 9" xfId="351" xr:uid="{00000000-0005-0000-0000-0000C3000000}"/>
    <cellStyle name="Dziesiętny 3" xfId="7" xr:uid="{00000000-0005-0000-0000-0000C4000000}"/>
    <cellStyle name="Dziesiętny 3 2" xfId="32" xr:uid="{00000000-0005-0000-0000-0000C5000000}"/>
    <cellStyle name="Dziesiętny 3 2 2" xfId="61" xr:uid="{00000000-0005-0000-0000-0000C6000000}"/>
    <cellStyle name="Dziesiętny 3 2 2 2" xfId="102" xr:uid="{00000000-0005-0000-0000-0000C7000000}"/>
    <cellStyle name="Dziesiętny 3 2 2 2 2" xfId="183" xr:uid="{00000000-0005-0000-0000-0000C8000000}"/>
    <cellStyle name="Dziesiętny 3 2 2 2 2 2" xfId="344" xr:uid="{00000000-0005-0000-0000-0000C9000000}"/>
    <cellStyle name="Dziesiętny 3 2 2 2 2 2 2" xfId="665" xr:uid="{00000000-0005-0000-0000-0000CA000000}"/>
    <cellStyle name="Dziesiętny 3 2 2 2 2 3" xfId="505" xr:uid="{00000000-0005-0000-0000-0000CB000000}"/>
    <cellStyle name="Dziesiętny 3 2 2 2 3" xfId="264" xr:uid="{00000000-0005-0000-0000-0000CC000000}"/>
    <cellStyle name="Dziesiętny 3 2 2 2 3 2" xfId="585" xr:uid="{00000000-0005-0000-0000-0000CD000000}"/>
    <cellStyle name="Dziesiętny 3 2 2 2 4" xfId="425" xr:uid="{00000000-0005-0000-0000-0000CE000000}"/>
    <cellStyle name="Dziesiętny 3 2 2 3" xfId="143" xr:uid="{00000000-0005-0000-0000-0000CF000000}"/>
    <cellStyle name="Dziesiętny 3 2 2 3 2" xfId="304" xr:uid="{00000000-0005-0000-0000-0000D0000000}"/>
    <cellStyle name="Dziesiętny 3 2 2 3 2 2" xfId="625" xr:uid="{00000000-0005-0000-0000-0000D1000000}"/>
    <cellStyle name="Dziesiętny 3 2 2 3 3" xfId="465" xr:uid="{00000000-0005-0000-0000-0000D2000000}"/>
    <cellStyle name="Dziesiętny 3 2 2 4" xfId="224" xr:uid="{00000000-0005-0000-0000-0000D3000000}"/>
    <cellStyle name="Dziesiętny 3 2 2 4 2" xfId="545" xr:uid="{00000000-0005-0000-0000-0000D4000000}"/>
    <cellStyle name="Dziesiętny 3 2 2 5" xfId="385" xr:uid="{00000000-0005-0000-0000-0000D5000000}"/>
    <cellStyle name="Dziesiętny 3 2 3" xfId="82" xr:uid="{00000000-0005-0000-0000-0000D6000000}"/>
    <cellStyle name="Dziesiętny 3 2 3 2" xfId="163" xr:uid="{00000000-0005-0000-0000-0000D7000000}"/>
    <cellStyle name="Dziesiętny 3 2 3 2 2" xfId="324" xr:uid="{00000000-0005-0000-0000-0000D8000000}"/>
    <cellStyle name="Dziesiętny 3 2 3 2 2 2" xfId="645" xr:uid="{00000000-0005-0000-0000-0000D9000000}"/>
    <cellStyle name="Dziesiętny 3 2 3 2 3" xfId="485" xr:uid="{00000000-0005-0000-0000-0000DA000000}"/>
    <cellStyle name="Dziesiętny 3 2 3 3" xfId="244" xr:uid="{00000000-0005-0000-0000-0000DB000000}"/>
    <cellStyle name="Dziesiętny 3 2 3 3 2" xfId="565" xr:uid="{00000000-0005-0000-0000-0000DC000000}"/>
    <cellStyle name="Dziesiętny 3 2 3 4" xfId="405" xr:uid="{00000000-0005-0000-0000-0000DD000000}"/>
    <cellStyle name="Dziesiętny 3 2 4" xfId="123" xr:uid="{00000000-0005-0000-0000-0000DE000000}"/>
    <cellStyle name="Dziesiętny 3 2 4 2" xfId="284" xr:uid="{00000000-0005-0000-0000-0000DF000000}"/>
    <cellStyle name="Dziesiętny 3 2 4 2 2" xfId="605" xr:uid="{00000000-0005-0000-0000-0000E0000000}"/>
    <cellStyle name="Dziesiętny 3 2 4 3" xfId="445" xr:uid="{00000000-0005-0000-0000-0000E1000000}"/>
    <cellStyle name="Dziesiętny 3 2 5" xfId="204" xr:uid="{00000000-0005-0000-0000-0000E2000000}"/>
    <cellStyle name="Dziesiętny 3 2 5 2" xfId="525" xr:uid="{00000000-0005-0000-0000-0000E3000000}"/>
    <cellStyle name="Dziesiętny 3 2 6" xfId="365" xr:uid="{00000000-0005-0000-0000-0000E4000000}"/>
    <cellStyle name="Dziesiętny 3 3" xfId="31" xr:uid="{00000000-0005-0000-0000-0000E5000000}"/>
    <cellStyle name="Dziesiętny 3 3 2" xfId="60" xr:uid="{00000000-0005-0000-0000-0000E6000000}"/>
    <cellStyle name="Dziesiętny 3 3 2 2" xfId="101" xr:uid="{00000000-0005-0000-0000-0000E7000000}"/>
    <cellStyle name="Dziesiętny 3 3 2 2 2" xfId="182" xr:uid="{00000000-0005-0000-0000-0000E8000000}"/>
    <cellStyle name="Dziesiętny 3 3 2 2 2 2" xfId="343" xr:uid="{00000000-0005-0000-0000-0000E9000000}"/>
    <cellStyle name="Dziesiętny 3 3 2 2 2 2 2" xfId="664" xr:uid="{00000000-0005-0000-0000-0000EA000000}"/>
    <cellStyle name="Dziesiętny 3 3 2 2 2 3" xfId="504" xr:uid="{00000000-0005-0000-0000-0000EB000000}"/>
    <cellStyle name="Dziesiętny 3 3 2 2 3" xfId="263" xr:uid="{00000000-0005-0000-0000-0000EC000000}"/>
    <cellStyle name="Dziesiętny 3 3 2 2 3 2" xfId="584" xr:uid="{00000000-0005-0000-0000-0000ED000000}"/>
    <cellStyle name="Dziesiętny 3 3 2 2 4" xfId="424" xr:uid="{00000000-0005-0000-0000-0000EE000000}"/>
    <cellStyle name="Dziesiętny 3 3 2 3" xfId="142" xr:uid="{00000000-0005-0000-0000-0000EF000000}"/>
    <cellStyle name="Dziesiętny 3 3 2 3 2" xfId="303" xr:uid="{00000000-0005-0000-0000-0000F0000000}"/>
    <cellStyle name="Dziesiętny 3 3 2 3 2 2" xfId="624" xr:uid="{00000000-0005-0000-0000-0000F1000000}"/>
    <cellStyle name="Dziesiętny 3 3 2 3 3" xfId="464" xr:uid="{00000000-0005-0000-0000-0000F2000000}"/>
    <cellStyle name="Dziesiętny 3 3 2 4" xfId="223" xr:uid="{00000000-0005-0000-0000-0000F3000000}"/>
    <cellStyle name="Dziesiętny 3 3 2 4 2" xfId="544" xr:uid="{00000000-0005-0000-0000-0000F4000000}"/>
    <cellStyle name="Dziesiętny 3 3 2 5" xfId="384" xr:uid="{00000000-0005-0000-0000-0000F5000000}"/>
    <cellStyle name="Dziesiętny 3 3 3" xfId="81" xr:uid="{00000000-0005-0000-0000-0000F6000000}"/>
    <cellStyle name="Dziesiętny 3 3 3 2" xfId="162" xr:uid="{00000000-0005-0000-0000-0000F7000000}"/>
    <cellStyle name="Dziesiętny 3 3 3 2 2" xfId="323" xr:uid="{00000000-0005-0000-0000-0000F8000000}"/>
    <cellStyle name="Dziesiętny 3 3 3 2 2 2" xfId="644" xr:uid="{00000000-0005-0000-0000-0000F9000000}"/>
    <cellStyle name="Dziesiętny 3 3 3 2 3" xfId="484" xr:uid="{00000000-0005-0000-0000-0000FA000000}"/>
    <cellStyle name="Dziesiętny 3 3 3 3" xfId="243" xr:uid="{00000000-0005-0000-0000-0000FB000000}"/>
    <cellStyle name="Dziesiętny 3 3 3 3 2" xfId="564" xr:uid="{00000000-0005-0000-0000-0000FC000000}"/>
    <cellStyle name="Dziesiętny 3 3 3 4" xfId="404" xr:uid="{00000000-0005-0000-0000-0000FD000000}"/>
    <cellStyle name="Dziesiętny 3 3 4" xfId="122" xr:uid="{00000000-0005-0000-0000-0000FE000000}"/>
    <cellStyle name="Dziesiętny 3 3 4 2" xfId="283" xr:uid="{00000000-0005-0000-0000-0000FF000000}"/>
    <cellStyle name="Dziesiętny 3 3 4 2 2" xfId="604" xr:uid="{00000000-0005-0000-0000-000000010000}"/>
    <cellStyle name="Dziesiętny 3 3 4 3" xfId="444" xr:uid="{00000000-0005-0000-0000-000001010000}"/>
    <cellStyle name="Dziesiętny 3 3 5" xfId="203" xr:uid="{00000000-0005-0000-0000-000002010000}"/>
    <cellStyle name="Dziesiętny 3 3 5 2" xfId="524" xr:uid="{00000000-0005-0000-0000-000003010000}"/>
    <cellStyle name="Dziesiętny 3 3 6" xfId="364" xr:uid="{00000000-0005-0000-0000-000004010000}"/>
    <cellStyle name="Dziesiętny 3 4" xfId="48" xr:uid="{00000000-0005-0000-0000-000005010000}"/>
    <cellStyle name="Dziesiętny 3 4 2" xfId="89" xr:uid="{00000000-0005-0000-0000-000006010000}"/>
    <cellStyle name="Dziesiętny 3 4 2 2" xfId="170" xr:uid="{00000000-0005-0000-0000-000007010000}"/>
    <cellStyle name="Dziesiętny 3 4 2 2 2" xfId="331" xr:uid="{00000000-0005-0000-0000-000008010000}"/>
    <cellStyle name="Dziesiętny 3 4 2 2 2 2" xfId="652" xr:uid="{00000000-0005-0000-0000-000009010000}"/>
    <cellStyle name="Dziesiętny 3 4 2 2 3" xfId="492" xr:uid="{00000000-0005-0000-0000-00000A010000}"/>
    <cellStyle name="Dziesiętny 3 4 2 3" xfId="251" xr:uid="{00000000-0005-0000-0000-00000B010000}"/>
    <cellStyle name="Dziesiętny 3 4 2 3 2" xfId="572" xr:uid="{00000000-0005-0000-0000-00000C010000}"/>
    <cellStyle name="Dziesiętny 3 4 2 4" xfId="412" xr:uid="{00000000-0005-0000-0000-00000D010000}"/>
    <cellStyle name="Dziesiętny 3 4 3" xfId="130" xr:uid="{00000000-0005-0000-0000-00000E010000}"/>
    <cellStyle name="Dziesiętny 3 4 3 2" xfId="291" xr:uid="{00000000-0005-0000-0000-00000F010000}"/>
    <cellStyle name="Dziesiętny 3 4 3 2 2" xfId="612" xr:uid="{00000000-0005-0000-0000-000010010000}"/>
    <cellStyle name="Dziesiętny 3 4 3 3" xfId="452" xr:uid="{00000000-0005-0000-0000-000011010000}"/>
    <cellStyle name="Dziesiętny 3 4 4" xfId="211" xr:uid="{00000000-0005-0000-0000-000012010000}"/>
    <cellStyle name="Dziesiętny 3 4 4 2" xfId="532" xr:uid="{00000000-0005-0000-0000-000013010000}"/>
    <cellStyle name="Dziesiętny 3 4 5" xfId="372" xr:uid="{00000000-0005-0000-0000-000014010000}"/>
    <cellStyle name="Dziesiętny 3 5" xfId="69" xr:uid="{00000000-0005-0000-0000-000015010000}"/>
    <cellStyle name="Dziesiętny 3 5 2" xfId="150" xr:uid="{00000000-0005-0000-0000-000016010000}"/>
    <cellStyle name="Dziesiętny 3 5 2 2" xfId="311" xr:uid="{00000000-0005-0000-0000-000017010000}"/>
    <cellStyle name="Dziesiętny 3 5 2 2 2" xfId="632" xr:uid="{00000000-0005-0000-0000-000018010000}"/>
    <cellStyle name="Dziesiętny 3 5 2 3" xfId="472" xr:uid="{00000000-0005-0000-0000-000019010000}"/>
    <cellStyle name="Dziesiętny 3 5 3" xfId="231" xr:uid="{00000000-0005-0000-0000-00001A010000}"/>
    <cellStyle name="Dziesiętny 3 5 3 2" xfId="552" xr:uid="{00000000-0005-0000-0000-00001B010000}"/>
    <cellStyle name="Dziesiętny 3 5 4" xfId="392" xr:uid="{00000000-0005-0000-0000-00001C010000}"/>
    <cellStyle name="Dziesiętny 3 6" xfId="110" xr:uid="{00000000-0005-0000-0000-00001D010000}"/>
    <cellStyle name="Dziesiętny 3 6 2" xfId="271" xr:uid="{00000000-0005-0000-0000-00001E010000}"/>
    <cellStyle name="Dziesiętny 3 6 2 2" xfId="592" xr:uid="{00000000-0005-0000-0000-00001F010000}"/>
    <cellStyle name="Dziesiętny 3 6 3" xfId="432" xr:uid="{00000000-0005-0000-0000-000020010000}"/>
    <cellStyle name="Dziesiętny 3 7" xfId="191" xr:uid="{00000000-0005-0000-0000-000021010000}"/>
    <cellStyle name="Dziesiętny 3 7 2" xfId="512" xr:uid="{00000000-0005-0000-0000-000022010000}"/>
    <cellStyle name="Dziesiętny 3 8" xfId="352" xr:uid="{00000000-0005-0000-0000-000023010000}"/>
    <cellStyle name="Dziesiętny 4" xfId="9" xr:uid="{00000000-0005-0000-0000-000024010000}"/>
    <cellStyle name="Dziesiętny 4 2" xfId="34" xr:uid="{00000000-0005-0000-0000-000025010000}"/>
    <cellStyle name="Dziesiętny 4 2 2" xfId="63" xr:uid="{00000000-0005-0000-0000-000026010000}"/>
    <cellStyle name="Dziesiętny 4 2 2 2" xfId="104" xr:uid="{00000000-0005-0000-0000-000027010000}"/>
    <cellStyle name="Dziesiętny 4 2 2 2 2" xfId="185" xr:uid="{00000000-0005-0000-0000-000028010000}"/>
    <cellStyle name="Dziesiętny 4 2 2 2 2 2" xfId="346" xr:uid="{00000000-0005-0000-0000-000029010000}"/>
    <cellStyle name="Dziesiętny 4 2 2 2 2 2 2" xfId="667" xr:uid="{00000000-0005-0000-0000-00002A010000}"/>
    <cellStyle name="Dziesiętny 4 2 2 2 2 3" xfId="507" xr:uid="{00000000-0005-0000-0000-00002B010000}"/>
    <cellStyle name="Dziesiętny 4 2 2 2 3" xfId="266" xr:uid="{00000000-0005-0000-0000-00002C010000}"/>
    <cellStyle name="Dziesiętny 4 2 2 2 3 2" xfId="587" xr:uid="{00000000-0005-0000-0000-00002D010000}"/>
    <cellStyle name="Dziesiętny 4 2 2 2 4" xfId="427" xr:uid="{00000000-0005-0000-0000-00002E010000}"/>
    <cellStyle name="Dziesiętny 4 2 2 3" xfId="145" xr:uid="{00000000-0005-0000-0000-00002F010000}"/>
    <cellStyle name="Dziesiętny 4 2 2 3 2" xfId="306" xr:uid="{00000000-0005-0000-0000-000030010000}"/>
    <cellStyle name="Dziesiętny 4 2 2 3 2 2" xfId="627" xr:uid="{00000000-0005-0000-0000-000031010000}"/>
    <cellStyle name="Dziesiętny 4 2 2 3 3" xfId="467" xr:uid="{00000000-0005-0000-0000-000032010000}"/>
    <cellStyle name="Dziesiętny 4 2 2 4" xfId="226" xr:uid="{00000000-0005-0000-0000-000033010000}"/>
    <cellStyle name="Dziesiętny 4 2 2 4 2" xfId="547" xr:uid="{00000000-0005-0000-0000-000034010000}"/>
    <cellStyle name="Dziesiętny 4 2 2 5" xfId="387" xr:uid="{00000000-0005-0000-0000-000035010000}"/>
    <cellStyle name="Dziesiętny 4 2 3" xfId="84" xr:uid="{00000000-0005-0000-0000-000036010000}"/>
    <cellStyle name="Dziesiętny 4 2 3 2" xfId="165" xr:uid="{00000000-0005-0000-0000-000037010000}"/>
    <cellStyle name="Dziesiętny 4 2 3 2 2" xfId="326" xr:uid="{00000000-0005-0000-0000-000038010000}"/>
    <cellStyle name="Dziesiętny 4 2 3 2 2 2" xfId="647" xr:uid="{00000000-0005-0000-0000-000039010000}"/>
    <cellStyle name="Dziesiętny 4 2 3 2 3" xfId="487" xr:uid="{00000000-0005-0000-0000-00003A010000}"/>
    <cellStyle name="Dziesiętny 4 2 3 3" xfId="246" xr:uid="{00000000-0005-0000-0000-00003B010000}"/>
    <cellStyle name="Dziesiętny 4 2 3 3 2" xfId="567" xr:uid="{00000000-0005-0000-0000-00003C010000}"/>
    <cellStyle name="Dziesiętny 4 2 3 4" xfId="407" xr:uid="{00000000-0005-0000-0000-00003D010000}"/>
    <cellStyle name="Dziesiętny 4 2 4" xfId="125" xr:uid="{00000000-0005-0000-0000-00003E010000}"/>
    <cellStyle name="Dziesiętny 4 2 4 2" xfId="286" xr:uid="{00000000-0005-0000-0000-00003F010000}"/>
    <cellStyle name="Dziesiętny 4 2 4 2 2" xfId="607" xr:uid="{00000000-0005-0000-0000-000040010000}"/>
    <cellStyle name="Dziesiętny 4 2 4 3" xfId="447" xr:uid="{00000000-0005-0000-0000-000041010000}"/>
    <cellStyle name="Dziesiętny 4 2 5" xfId="206" xr:uid="{00000000-0005-0000-0000-000042010000}"/>
    <cellStyle name="Dziesiętny 4 2 5 2" xfId="527" xr:uid="{00000000-0005-0000-0000-000043010000}"/>
    <cellStyle name="Dziesiętny 4 2 6" xfId="367" xr:uid="{00000000-0005-0000-0000-000044010000}"/>
    <cellStyle name="Dziesiętny 4 3" xfId="33" xr:uid="{00000000-0005-0000-0000-000045010000}"/>
    <cellStyle name="Dziesiętny 4 3 2" xfId="62" xr:uid="{00000000-0005-0000-0000-000046010000}"/>
    <cellStyle name="Dziesiętny 4 3 2 2" xfId="103" xr:uid="{00000000-0005-0000-0000-000047010000}"/>
    <cellStyle name="Dziesiętny 4 3 2 2 2" xfId="184" xr:uid="{00000000-0005-0000-0000-000048010000}"/>
    <cellStyle name="Dziesiętny 4 3 2 2 2 2" xfId="345" xr:uid="{00000000-0005-0000-0000-000049010000}"/>
    <cellStyle name="Dziesiętny 4 3 2 2 2 2 2" xfId="666" xr:uid="{00000000-0005-0000-0000-00004A010000}"/>
    <cellStyle name="Dziesiętny 4 3 2 2 2 3" xfId="506" xr:uid="{00000000-0005-0000-0000-00004B010000}"/>
    <cellStyle name="Dziesiętny 4 3 2 2 3" xfId="265" xr:uid="{00000000-0005-0000-0000-00004C010000}"/>
    <cellStyle name="Dziesiętny 4 3 2 2 3 2" xfId="586" xr:uid="{00000000-0005-0000-0000-00004D010000}"/>
    <cellStyle name="Dziesiętny 4 3 2 2 4" xfId="426" xr:uid="{00000000-0005-0000-0000-00004E010000}"/>
    <cellStyle name="Dziesiętny 4 3 2 3" xfId="144" xr:uid="{00000000-0005-0000-0000-00004F010000}"/>
    <cellStyle name="Dziesiętny 4 3 2 3 2" xfId="305" xr:uid="{00000000-0005-0000-0000-000050010000}"/>
    <cellStyle name="Dziesiętny 4 3 2 3 2 2" xfId="626" xr:uid="{00000000-0005-0000-0000-000051010000}"/>
    <cellStyle name="Dziesiętny 4 3 2 3 3" xfId="466" xr:uid="{00000000-0005-0000-0000-000052010000}"/>
    <cellStyle name="Dziesiętny 4 3 2 4" xfId="225" xr:uid="{00000000-0005-0000-0000-000053010000}"/>
    <cellStyle name="Dziesiętny 4 3 2 4 2" xfId="546" xr:uid="{00000000-0005-0000-0000-000054010000}"/>
    <cellStyle name="Dziesiętny 4 3 2 5" xfId="386" xr:uid="{00000000-0005-0000-0000-000055010000}"/>
    <cellStyle name="Dziesiętny 4 3 3" xfId="83" xr:uid="{00000000-0005-0000-0000-000056010000}"/>
    <cellStyle name="Dziesiętny 4 3 3 2" xfId="164" xr:uid="{00000000-0005-0000-0000-000057010000}"/>
    <cellStyle name="Dziesiętny 4 3 3 2 2" xfId="325" xr:uid="{00000000-0005-0000-0000-000058010000}"/>
    <cellStyle name="Dziesiętny 4 3 3 2 2 2" xfId="646" xr:uid="{00000000-0005-0000-0000-000059010000}"/>
    <cellStyle name="Dziesiętny 4 3 3 2 3" xfId="486" xr:uid="{00000000-0005-0000-0000-00005A010000}"/>
    <cellStyle name="Dziesiętny 4 3 3 3" xfId="245" xr:uid="{00000000-0005-0000-0000-00005B010000}"/>
    <cellStyle name="Dziesiętny 4 3 3 3 2" xfId="566" xr:uid="{00000000-0005-0000-0000-00005C010000}"/>
    <cellStyle name="Dziesiętny 4 3 3 4" xfId="406" xr:uid="{00000000-0005-0000-0000-00005D010000}"/>
    <cellStyle name="Dziesiętny 4 3 4" xfId="124" xr:uid="{00000000-0005-0000-0000-00005E010000}"/>
    <cellStyle name="Dziesiętny 4 3 4 2" xfId="285" xr:uid="{00000000-0005-0000-0000-00005F010000}"/>
    <cellStyle name="Dziesiętny 4 3 4 2 2" xfId="606" xr:uid="{00000000-0005-0000-0000-000060010000}"/>
    <cellStyle name="Dziesiętny 4 3 4 3" xfId="446" xr:uid="{00000000-0005-0000-0000-000061010000}"/>
    <cellStyle name="Dziesiętny 4 3 5" xfId="205" xr:uid="{00000000-0005-0000-0000-000062010000}"/>
    <cellStyle name="Dziesiętny 4 3 5 2" xfId="526" xr:uid="{00000000-0005-0000-0000-000063010000}"/>
    <cellStyle name="Dziesiętny 4 3 6" xfId="366" xr:uid="{00000000-0005-0000-0000-000064010000}"/>
    <cellStyle name="Dziesiętny 4 4" xfId="49" xr:uid="{00000000-0005-0000-0000-000065010000}"/>
    <cellStyle name="Dziesiętny 4 4 2" xfId="90" xr:uid="{00000000-0005-0000-0000-000066010000}"/>
    <cellStyle name="Dziesiętny 4 4 2 2" xfId="171" xr:uid="{00000000-0005-0000-0000-000067010000}"/>
    <cellStyle name="Dziesiętny 4 4 2 2 2" xfId="332" xr:uid="{00000000-0005-0000-0000-000068010000}"/>
    <cellStyle name="Dziesiętny 4 4 2 2 2 2" xfId="653" xr:uid="{00000000-0005-0000-0000-000069010000}"/>
    <cellStyle name="Dziesiętny 4 4 2 2 3" xfId="493" xr:uid="{00000000-0005-0000-0000-00006A010000}"/>
    <cellStyle name="Dziesiętny 4 4 2 3" xfId="252" xr:uid="{00000000-0005-0000-0000-00006B010000}"/>
    <cellStyle name="Dziesiętny 4 4 2 3 2" xfId="573" xr:uid="{00000000-0005-0000-0000-00006C010000}"/>
    <cellStyle name="Dziesiętny 4 4 2 4" xfId="413" xr:uid="{00000000-0005-0000-0000-00006D010000}"/>
    <cellStyle name="Dziesiętny 4 4 3" xfId="131" xr:uid="{00000000-0005-0000-0000-00006E010000}"/>
    <cellStyle name="Dziesiętny 4 4 3 2" xfId="292" xr:uid="{00000000-0005-0000-0000-00006F010000}"/>
    <cellStyle name="Dziesiętny 4 4 3 2 2" xfId="613" xr:uid="{00000000-0005-0000-0000-000070010000}"/>
    <cellStyle name="Dziesiętny 4 4 3 3" xfId="453" xr:uid="{00000000-0005-0000-0000-000071010000}"/>
    <cellStyle name="Dziesiętny 4 4 4" xfId="212" xr:uid="{00000000-0005-0000-0000-000072010000}"/>
    <cellStyle name="Dziesiętny 4 4 4 2" xfId="533" xr:uid="{00000000-0005-0000-0000-000073010000}"/>
    <cellStyle name="Dziesiętny 4 4 5" xfId="373" xr:uid="{00000000-0005-0000-0000-000074010000}"/>
    <cellStyle name="Dziesiętny 4 5" xfId="70" xr:uid="{00000000-0005-0000-0000-000075010000}"/>
    <cellStyle name="Dziesiętny 4 5 2" xfId="151" xr:uid="{00000000-0005-0000-0000-000076010000}"/>
    <cellStyle name="Dziesiętny 4 5 2 2" xfId="312" xr:uid="{00000000-0005-0000-0000-000077010000}"/>
    <cellStyle name="Dziesiętny 4 5 2 2 2" xfId="633" xr:uid="{00000000-0005-0000-0000-000078010000}"/>
    <cellStyle name="Dziesiętny 4 5 2 3" xfId="473" xr:uid="{00000000-0005-0000-0000-000079010000}"/>
    <cellStyle name="Dziesiętny 4 5 3" xfId="232" xr:uid="{00000000-0005-0000-0000-00007A010000}"/>
    <cellStyle name="Dziesiętny 4 5 3 2" xfId="553" xr:uid="{00000000-0005-0000-0000-00007B010000}"/>
    <cellStyle name="Dziesiętny 4 5 4" xfId="393" xr:uid="{00000000-0005-0000-0000-00007C010000}"/>
    <cellStyle name="Dziesiętny 4 6" xfId="111" xr:uid="{00000000-0005-0000-0000-00007D010000}"/>
    <cellStyle name="Dziesiętny 4 6 2" xfId="272" xr:uid="{00000000-0005-0000-0000-00007E010000}"/>
    <cellStyle name="Dziesiętny 4 6 2 2" xfId="593" xr:uid="{00000000-0005-0000-0000-00007F010000}"/>
    <cellStyle name="Dziesiętny 4 6 3" xfId="433" xr:uid="{00000000-0005-0000-0000-000080010000}"/>
    <cellStyle name="Dziesiętny 4 7" xfId="192" xr:uid="{00000000-0005-0000-0000-000081010000}"/>
    <cellStyle name="Dziesiętny 4 7 2" xfId="513" xr:uid="{00000000-0005-0000-0000-000082010000}"/>
    <cellStyle name="Dziesiętny 4 8" xfId="353" xr:uid="{00000000-0005-0000-0000-000083010000}"/>
    <cellStyle name="Dziesiętny 5" xfId="12" xr:uid="{00000000-0005-0000-0000-000084010000}"/>
    <cellStyle name="Dziesiętny 5 2" xfId="35" xr:uid="{00000000-0005-0000-0000-000085010000}"/>
    <cellStyle name="Dziesiętny 5 2 2" xfId="64" xr:uid="{00000000-0005-0000-0000-000086010000}"/>
    <cellStyle name="Dziesiętny 5 2 2 2" xfId="105" xr:uid="{00000000-0005-0000-0000-000087010000}"/>
    <cellStyle name="Dziesiętny 5 2 2 2 2" xfId="186" xr:uid="{00000000-0005-0000-0000-000088010000}"/>
    <cellStyle name="Dziesiętny 5 2 2 2 2 2" xfId="347" xr:uid="{00000000-0005-0000-0000-000089010000}"/>
    <cellStyle name="Dziesiętny 5 2 2 2 2 2 2" xfId="668" xr:uid="{00000000-0005-0000-0000-00008A010000}"/>
    <cellStyle name="Dziesiętny 5 2 2 2 2 3" xfId="508" xr:uid="{00000000-0005-0000-0000-00008B010000}"/>
    <cellStyle name="Dziesiętny 5 2 2 2 3" xfId="267" xr:uid="{00000000-0005-0000-0000-00008C010000}"/>
    <cellStyle name="Dziesiętny 5 2 2 2 3 2" xfId="588" xr:uid="{00000000-0005-0000-0000-00008D010000}"/>
    <cellStyle name="Dziesiętny 5 2 2 2 4" xfId="428" xr:uid="{00000000-0005-0000-0000-00008E010000}"/>
    <cellStyle name="Dziesiętny 5 2 2 3" xfId="146" xr:uid="{00000000-0005-0000-0000-00008F010000}"/>
    <cellStyle name="Dziesiętny 5 2 2 3 2" xfId="307" xr:uid="{00000000-0005-0000-0000-000090010000}"/>
    <cellStyle name="Dziesiętny 5 2 2 3 2 2" xfId="628" xr:uid="{00000000-0005-0000-0000-000091010000}"/>
    <cellStyle name="Dziesiętny 5 2 2 3 3" xfId="468" xr:uid="{00000000-0005-0000-0000-000092010000}"/>
    <cellStyle name="Dziesiętny 5 2 2 4" xfId="227" xr:uid="{00000000-0005-0000-0000-000093010000}"/>
    <cellStyle name="Dziesiętny 5 2 2 4 2" xfId="548" xr:uid="{00000000-0005-0000-0000-000094010000}"/>
    <cellStyle name="Dziesiętny 5 2 2 5" xfId="388" xr:uid="{00000000-0005-0000-0000-000095010000}"/>
    <cellStyle name="Dziesiętny 5 2 3" xfId="85" xr:uid="{00000000-0005-0000-0000-000096010000}"/>
    <cellStyle name="Dziesiętny 5 2 3 2" xfId="166" xr:uid="{00000000-0005-0000-0000-000097010000}"/>
    <cellStyle name="Dziesiętny 5 2 3 2 2" xfId="327" xr:uid="{00000000-0005-0000-0000-000098010000}"/>
    <cellStyle name="Dziesiętny 5 2 3 2 2 2" xfId="648" xr:uid="{00000000-0005-0000-0000-000099010000}"/>
    <cellStyle name="Dziesiętny 5 2 3 2 3" xfId="488" xr:uid="{00000000-0005-0000-0000-00009A010000}"/>
    <cellStyle name="Dziesiętny 5 2 3 3" xfId="247" xr:uid="{00000000-0005-0000-0000-00009B010000}"/>
    <cellStyle name="Dziesiętny 5 2 3 3 2" xfId="568" xr:uid="{00000000-0005-0000-0000-00009C010000}"/>
    <cellStyle name="Dziesiętny 5 2 3 4" xfId="408" xr:uid="{00000000-0005-0000-0000-00009D010000}"/>
    <cellStyle name="Dziesiętny 5 2 4" xfId="126" xr:uid="{00000000-0005-0000-0000-00009E010000}"/>
    <cellStyle name="Dziesiętny 5 2 4 2" xfId="287" xr:uid="{00000000-0005-0000-0000-00009F010000}"/>
    <cellStyle name="Dziesiętny 5 2 4 2 2" xfId="608" xr:uid="{00000000-0005-0000-0000-0000A0010000}"/>
    <cellStyle name="Dziesiętny 5 2 4 3" xfId="448" xr:uid="{00000000-0005-0000-0000-0000A1010000}"/>
    <cellStyle name="Dziesiętny 5 2 5" xfId="207" xr:uid="{00000000-0005-0000-0000-0000A2010000}"/>
    <cellStyle name="Dziesiętny 5 2 5 2" xfId="528" xr:uid="{00000000-0005-0000-0000-0000A3010000}"/>
    <cellStyle name="Dziesiętny 5 2 6" xfId="368" xr:uid="{00000000-0005-0000-0000-0000A4010000}"/>
    <cellStyle name="Dziesiętny 5 3" xfId="51" xr:uid="{00000000-0005-0000-0000-0000A5010000}"/>
    <cellStyle name="Dziesiętny 5 3 2" xfId="92" xr:uid="{00000000-0005-0000-0000-0000A6010000}"/>
    <cellStyle name="Dziesiętny 5 3 2 2" xfId="173" xr:uid="{00000000-0005-0000-0000-0000A7010000}"/>
    <cellStyle name="Dziesiętny 5 3 2 2 2" xfId="334" xr:uid="{00000000-0005-0000-0000-0000A8010000}"/>
    <cellStyle name="Dziesiętny 5 3 2 2 2 2" xfId="655" xr:uid="{00000000-0005-0000-0000-0000A9010000}"/>
    <cellStyle name="Dziesiętny 5 3 2 2 3" xfId="495" xr:uid="{00000000-0005-0000-0000-0000AA010000}"/>
    <cellStyle name="Dziesiętny 5 3 2 3" xfId="254" xr:uid="{00000000-0005-0000-0000-0000AB010000}"/>
    <cellStyle name="Dziesiętny 5 3 2 3 2" xfId="575" xr:uid="{00000000-0005-0000-0000-0000AC010000}"/>
    <cellStyle name="Dziesiętny 5 3 2 4" xfId="415" xr:uid="{00000000-0005-0000-0000-0000AD010000}"/>
    <cellStyle name="Dziesiętny 5 3 3" xfId="133" xr:uid="{00000000-0005-0000-0000-0000AE010000}"/>
    <cellStyle name="Dziesiętny 5 3 3 2" xfId="294" xr:uid="{00000000-0005-0000-0000-0000AF010000}"/>
    <cellStyle name="Dziesiętny 5 3 3 2 2" xfId="615" xr:uid="{00000000-0005-0000-0000-0000B0010000}"/>
    <cellStyle name="Dziesiętny 5 3 3 3" xfId="455" xr:uid="{00000000-0005-0000-0000-0000B1010000}"/>
    <cellStyle name="Dziesiętny 5 3 4" xfId="214" xr:uid="{00000000-0005-0000-0000-0000B2010000}"/>
    <cellStyle name="Dziesiętny 5 3 4 2" xfId="535" xr:uid="{00000000-0005-0000-0000-0000B3010000}"/>
    <cellStyle name="Dziesiętny 5 3 5" xfId="375" xr:uid="{00000000-0005-0000-0000-0000B4010000}"/>
    <cellStyle name="Dziesiętny 5 4" xfId="72" xr:uid="{00000000-0005-0000-0000-0000B5010000}"/>
    <cellStyle name="Dziesiętny 5 4 2" xfId="153" xr:uid="{00000000-0005-0000-0000-0000B6010000}"/>
    <cellStyle name="Dziesiętny 5 4 2 2" xfId="314" xr:uid="{00000000-0005-0000-0000-0000B7010000}"/>
    <cellStyle name="Dziesiętny 5 4 2 2 2" xfId="635" xr:uid="{00000000-0005-0000-0000-0000B8010000}"/>
    <cellStyle name="Dziesiętny 5 4 2 3" xfId="475" xr:uid="{00000000-0005-0000-0000-0000B9010000}"/>
    <cellStyle name="Dziesiętny 5 4 3" xfId="234" xr:uid="{00000000-0005-0000-0000-0000BA010000}"/>
    <cellStyle name="Dziesiętny 5 4 3 2" xfId="555" xr:uid="{00000000-0005-0000-0000-0000BB010000}"/>
    <cellStyle name="Dziesiętny 5 4 4" xfId="395" xr:uid="{00000000-0005-0000-0000-0000BC010000}"/>
    <cellStyle name="Dziesiętny 5 5" xfId="113" xr:uid="{00000000-0005-0000-0000-0000BD010000}"/>
    <cellStyle name="Dziesiętny 5 5 2" xfId="274" xr:uid="{00000000-0005-0000-0000-0000BE010000}"/>
    <cellStyle name="Dziesiętny 5 5 2 2" xfId="595" xr:uid="{00000000-0005-0000-0000-0000BF010000}"/>
    <cellStyle name="Dziesiętny 5 5 3" xfId="435" xr:uid="{00000000-0005-0000-0000-0000C0010000}"/>
    <cellStyle name="Dziesiętny 5 6" xfId="194" xr:uid="{00000000-0005-0000-0000-0000C1010000}"/>
    <cellStyle name="Dziesiętny 5 6 2" xfId="515" xr:uid="{00000000-0005-0000-0000-0000C2010000}"/>
    <cellStyle name="Dziesiętny 5 7" xfId="355" xr:uid="{00000000-0005-0000-0000-0000C3010000}"/>
    <cellStyle name="Dziesiętny 6" xfId="26" xr:uid="{00000000-0005-0000-0000-0000C4010000}"/>
    <cellStyle name="Dziesiętny 6 2" xfId="55" xr:uid="{00000000-0005-0000-0000-0000C5010000}"/>
    <cellStyle name="Dziesiętny 6 2 2" xfId="96" xr:uid="{00000000-0005-0000-0000-0000C6010000}"/>
    <cellStyle name="Dziesiętny 6 2 2 2" xfId="177" xr:uid="{00000000-0005-0000-0000-0000C7010000}"/>
    <cellStyle name="Dziesiętny 6 2 2 2 2" xfId="338" xr:uid="{00000000-0005-0000-0000-0000C8010000}"/>
    <cellStyle name="Dziesiętny 6 2 2 2 2 2" xfId="659" xr:uid="{00000000-0005-0000-0000-0000C9010000}"/>
    <cellStyle name="Dziesiętny 6 2 2 2 3" xfId="499" xr:uid="{00000000-0005-0000-0000-0000CA010000}"/>
    <cellStyle name="Dziesiętny 6 2 2 3" xfId="258" xr:uid="{00000000-0005-0000-0000-0000CB010000}"/>
    <cellStyle name="Dziesiętny 6 2 2 3 2" xfId="579" xr:uid="{00000000-0005-0000-0000-0000CC010000}"/>
    <cellStyle name="Dziesiętny 6 2 2 4" xfId="419" xr:uid="{00000000-0005-0000-0000-0000CD010000}"/>
    <cellStyle name="Dziesiętny 6 2 3" xfId="137" xr:uid="{00000000-0005-0000-0000-0000CE010000}"/>
    <cellStyle name="Dziesiętny 6 2 3 2" xfId="298" xr:uid="{00000000-0005-0000-0000-0000CF010000}"/>
    <cellStyle name="Dziesiętny 6 2 3 2 2" xfId="619" xr:uid="{00000000-0005-0000-0000-0000D0010000}"/>
    <cellStyle name="Dziesiętny 6 2 3 3" xfId="459" xr:uid="{00000000-0005-0000-0000-0000D1010000}"/>
    <cellStyle name="Dziesiętny 6 2 4" xfId="218" xr:uid="{00000000-0005-0000-0000-0000D2010000}"/>
    <cellStyle name="Dziesiętny 6 2 4 2" xfId="539" xr:uid="{00000000-0005-0000-0000-0000D3010000}"/>
    <cellStyle name="Dziesiętny 6 2 5" xfId="379" xr:uid="{00000000-0005-0000-0000-0000D4010000}"/>
    <cellStyle name="Dziesiętny 6 3" xfId="76" xr:uid="{00000000-0005-0000-0000-0000D5010000}"/>
    <cellStyle name="Dziesiętny 6 3 2" xfId="157" xr:uid="{00000000-0005-0000-0000-0000D6010000}"/>
    <cellStyle name="Dziesiętny 6 3 2 2" xfId="318" xr:uid="{00000000-0005-0000-0000-0000D7010000}"/>
    <cellStyle name="Dziesiętny 6 3 2 2 2" xfId="639" xr:uid="{00000000-0005-0000-0000-0000D8010000}"/>
    <cellStyle name="Dziesiętny 6 3 2 3" xfId="479" xr:uid="{00000000-0005-0000-0000-0000D9010000}"/>
    <cellStyle name="Dziesiętny 6 3 3" xfId="238" xr:uid="{00000000-0005-0000-0000-0000DA010000}"/>
    <cellStyle name="Dziesiętny 6 3 3 2" xfId="559" xr:uid="{00000000-0005-0000-0000-0000DB010000}"/>
    <cellStyle name="Dziesiętny 6 3 4" xfId="399" xr:uid="{00000000-0005-0000-0000-0000DC010000}"/>
    <cellStyle name="Dziesiętny 6 4" xfId="117" xr:uid="{00000000-0005-0000-0000-0000DD010000}"/>
    <cellStyle name="Dziesiętny 6 4 2" xfId="278" xr:uid="{00000000-0005-0000-0000-0000DE010000}"/>
    <cellStyle name="Dziesiętny 6 4 2 2" xfId="599" xr:uid="{00000000-0005-0000-0000-0000DF010000}"/>
    <cellStyle name="Dziesiętny 6 4 3" xfId="439" xr:uid="{00000000-0005-0000-0000-0000E0010000}"/>
    <cellStyle name="Dziesiętny 6 5" xfId="198" xr:uid="{00000000-0005-0000-0000-0000E1010000}"/>
    <cellStyle name="Dziesiętny 6 5 2" xfId="519" xr:uid="{00000000-0005-0000-0000-0000E2010000}"/>
    <cellStyle name="Dziesiętny 6 6" xfId="359" xr:uid="{00000000-0005-0000-0000-0000E3010000}"/>
    <cellStyle name="Dziesiętny 7" xfId="46" xr:uid="{00000000-0005-0000-0000-0000E4010000}"/>
    <cellStyle name="Dziesiętny 7 2" xfId="87" xr:uid="{00000000-0005-0000-0000-0000E5010000}"/>
    <cellStyle name="Dziesiętny 7 2 2" xfId="168" xr:uid="{00000000-0005-0000-0000-0000E6010000}"/>
    <cellStyle name="Dziesiętny 7 2 2 2" xfId="329" xr:uid="{00000000-0005-0000-0000-0000E7010000}"/>
    <cellStyle name="Dziesiętny 7 2 2 2 2" xfId="650" xr:uid="{00000000-0005-0000-0000-0000E8010000}"/>
    <cellStyle name="Dziesiętny 7 2 2 3" xfId="490" xr:uid="{00000000-0005-0000-0000-0000E9010000}"/>
    <cellStyle name="Dziesiętny 7 2 3" xfId="249" xr:uid="{00000000-0005-0000-0000-0000EA010000}"/>
    <cellStyle name="Dziesiętny 7 2 3 2" xfId="570" xr:uid="{00000000-0005-0000-0000-0000EB010000}"/>
    <cellStyle name="Dziesiętny 7 2 4" xfId="410" xr:uid="{00000000-0005-0000-0000-0000EC010000}"/>
    <cellStyle name="Dziesiętny 7 3" xfId="128" xr:uid="{00000000-0005-0000-0000-0000ED010000}"/>
    <cellStyle name="Dziesiętny 7 3 2" xfId="289" xr:uid="{00000000-0005-0000-0000-0000EE010000}"/>
    <cellStyle name="Dziesiętny 7 3 2 2" xfId="610" xr:uid="{00000000-0005-0000-0000-0000EF010000}"/>
    <cellStyle name="Dziesiętny 7 3 3" xfId="450" xr:uid="{00000000-0005-0000-0000-0000F0010000}"/>
    <cellStyle name="Dziesiętny 7 4" xfId="209" xr:uid="{00000000-0005-0000-0000-0000F1010000}"/>
    <cellStyle name="Dziesiętny 7 4 2" xfId="530" xr:uid="{00000000-0005-0000-0000-0000F2010000}"/>
    <cellStyle name="Dziesiętny 7 5" xfId="370" xr:uid="{00000000-0005-0000-0000-0000F3010000}"/>
    <cellStyle name="Dziesiętny 8" xfId="67" xr:uid="{00000000-0005-0000-0000-0000F4010000}"/>
    <cellStyle name="Dziesiętny 8 2" xfId="148" xr:uid="{00000000-0005-0000-0000-0000F5010000}"/>
    <cellStyle name="Dziesiętny 8 2 2" xfId="309" xr:uid="{00000000-0005-0000-0000-0000F6010000}"/>
    <cellStyle name="Dziesiętny 8 2 2 2" xfId="630" xr:uid="{00000000-0005-0000-0000-0000F7010000}"/>
    <cellStyle name="Dziesiętny 8 2 3" xfId="470" xr:uid="{00000000-0005-0000-0000-0000F8010000}"/>
    <cellStyle name="Dziesiętny 8 3" xfId="229" xr:uid="{00000000-0005-0000-0000-0000F9010000}"/>
    <cellStyle name="Dziesiętny 8 3 2" xfId="550" xr:uid="{00000000-0005-0000-0000-0000FA010000}"/>
    <cellStyle name="Dziesiętny 8 4" xfId="390" xr:uid="{00000000-0005-0000-0000-0000FB010000}"/>
    <cellStyle name="Dziesiętny 9" xfId="108" xr:uid="{00000000-0005-0000-0000-0000FC010000}"/>
    <cellStyle name="Dziesiętny 9 2" xfId="269" xr:uid="{00000000-0005-0000-0000-0000FD010000}"/>
    <cellStyle name="Dziesiętny 9 2 2" xfId="590" xr:uid="{00000000-0005-0000-0000-0000FE010000}"/>
    <cellStyle name="Dziesiętny 9 3" xfId="430" xr:uid="{00000000-0005-0000-0000-0000FF010000}"/>
    <cellStyle name="Normal_SHEET" xfId="672" xr:uid="{8569BCAB-2CEF-4EFC-85BA-C6FB6EBFDD78}"/>
    <cellStyle name="Normalny" xfId="0" builtinId="0"/>
    <cellStyle name="Normalny 10" xfId="4" xr:uid="{00000000-0005-0000-0000-000001020000}"/>
    <cellStyle name="Normalny 11" xfId="6" xr:uid="{00000000-0005-0000-0000-000002020000}"/>
    <cellStyle name="Normalny 11 2" xfId="36" xr:uid="{00000000-0005-0000-0000-000003020000}"/>
    <cellStyle name="Normalny 12" xfId="8" xr:uid="{00000000-0005-0000-0000-000004020000}"/>
    <cellStyle name="Normalny 12 2" xfId="37" xr:uid="{00000000-0005-0000-0000-000005020000}"/>
    <cellStyle name="Normalny 13" xfId="10" xr:uid="{00000000-0005-0000-0000-000006020000}"/>
    <cellStyle name="Normalny 13 2" xfId="38" xr:uid="{00000000-0005-0000-0000-000007020000}"/>
    <cellStyle name="Normalny 14" xfId="21" xr:uid="{00000000-0005-0000-0000-000008020000}"/>
    <cellStyle name="Normalny 15" xfId="22" xr:uid="{00000000-0005-0000-0000-000009020000}"/>
    <cellStyle name="Normalny 15 2" xfId="53" xr:uid="{00000000-0005-0000-0000-00000A020000}"/>
    <cellStyle name="Normalny 15 2 2" xfId="94" xr:uid="{00000000-0005-0000-0000-00000B020000}"/>
    <cellStyle name="Normalny 15 2 2 2" xfId="175" xr:uid="{00000000-0005-0000-0000-00000C020000}"/>
    <cellStyle name="Normalny 15 2 2 2 2" xfId="336" xr:uid="{00000000-0005-0000-0000-00000D020000}"/>
    <cellStyle name="Normalny 15 2 2 2 2 2" xfId="657" xr:uid="{00000000-0005-0000-0000-00000E020000}"/>
    <cellStyle name="Normalny 15 2 2 2 3" xfId="497" xr:uid="{00000000-0005-0000-0000-00000F020000}"/>
    <cellStyle name="Normalny 15 2 2 3" xfId="256" xr:uid="{00000000-0005-0000-0000-000010020000}"/>
    <cellStyle name="Normalny 15 2 2 3 2" xfId="577" xr:uid="{00000000-0005-0000-0000-000011020000}"/>
    <cellStyle name="Normalny 15 2 2 4" xfId="417" xr:uid="{00000000-0005-0000-0000-000012020000}"/>
    <cellStyle name="Normalny 15 2 3" xfId="135" xr:uid="{00000000-0005-0000-0000-000013020000}"/>
    <cellStyle name="Normalny 15 2 3 2" xfId="296" xr:uid="{00000000-0005-0000-0000-000014020000}"/>
    <cellStyle name="Normalny 15 2 3 2 2" xfId="617" xr:uid="{00000000-0005-0000-0000-000015020000}"/>
    <cellStyle name="Normalny 15 2 3 3" xfId="457" xr:uid="{00000000-0005-0000-0000-000016020000}"/>
    <cellStyle name="Normalny 15 2 4" xfId="216" xr:uid="{00000000-0005-0000-0000-000017020000}"/>
    <cellStyle name="Normalny 15 2 4 2" xfId="537" xr:uid="{00000000-0005-0000-0000-000018020000}"/>
    <cellStyle name="Normalny 15 2 5" xfId="377" xr:uid="{00000000-0005-0000-0000-000019020000}"/>
    <cellStyle name="Normalny 15 3" xfId="74" xr:uid="{00000000-0005-0000-0000-00001A020000}"/>
    <cellStyle name="Normalny 15 3 2" xfId="155" xr:uid="{00000000-0005-0000-0000-00001B020000}"/>
    <cellStyle name="Normalny 15 3 2 2" xfId="316" xr:uid="{00000000-0005-0000-0000-00001C020000}"/>
    <cellStyle name="Normalny 15 3 2 2 2" xfId="637" xr:uid="{00000000-0005-0000-0000-00001D020000}"/>
    <cellStyle name="Normalny 15 3 2 3" xfId="477" xr:uid="{00000000-0005-0000-0000-00001E020000}"/>
    <cellStyle name="Normalny 15 3 3" xfId="236" xr:uid="{00000000-0005-0000-0000-00001F020000}"/>
    <cellStyle name="Normalny 15 3 3 2" xfId="557" xr:uid="{00000000-0005-0000-0000-000020020000}"/>
    <cellStyle name="Normalny 15 3 4" xfId="397" xr:uid="{00000000-0005-0000-0000-000021020000}"/>
    <cellStyle name="Normalny 15 4" xfId="115" xr:uid="{00000000-0005-0000-0000-000022020000}"/>
    <cellStyle name="Normalny 15 4 2" xfId="276" xr:uid="{00000000-0005-0000-0000-000023020000}"/>
    <cellStyle name="Normalny 15 4 2 2" xfId="597" xr:uid="{00000000-0005-0000-0000-000024020000}"/>
    <cellStyle name="Normalny 15 4 3" xfId="437" xr:uid="{00000000-0005-0000-0000-000025020000}"/>
    <cellStyle name="Normalny 15 5" xfId="196" xr:uid="{00000000-0005-0000-0000-000026020000}"/>
    <cellStyle name="Normalny 15 5 2" xfId="517" xr:uid="{00000000-0005-0000-0000-000027020000}"/>
    <cellStyle name="Normalny 15 6" xfId="357" xr:uid="{00000000-0005-0000-0000-000028020000}"/>
    <cellStyle name="Normalny 16" xfId="23" xr:uid="{00000000-0005-0000-0000-000029020000}"/>
    <cellStyle name="Normalny 16 2" xfId="54" xr:uid="{00000000-0005-0000-0000-00002A020000}"/>
    <cellStyle name="Normalny 16 2 2" xfId="95" xr:uid="{00000000-0005-0000-0000-00002B020000}"/>
    <cellStyle name="Normalny 16 2 2 2" xfId="176" xr:uid="{00000000-0005-0000-0000-00002C020000}"/>
    <cellStyle name="Normalny 16 2 2 2 2" xfId="337" xr:uid="{00000000-0005-0000-0000-00002D020000}"/>
    <cellStyle name="Normalny 16 2 2 2 2 2" xfId="658" xr:uid="{00000000-0005-0000-0000-00002E020000}"/>
    <cellStyle name="Normalny 16 2 2 2 3" xfId="498" xr:uid="{00000000-0005-0000-0000-00002F020000}"/>
    <cellStyle name="Normalny 16 2 2 3" xfId="257" xr:uid="{00000000-0005-0000-0000-000030020000}"/>
    <cellStyle name="Normalny 16 2 2 3 2" xfId="578" xr:uid="{00000000-0005-0000-0000-000031020000}"/>
    <cellStyle name="Normalny 16 2 2 4" xfId="418" xr:uid="{00000000-0005-0000-0000-000032020000}"/>
    <cellStyle name="Normalny 16 2 3" xfId="136" xr:uid="{00000000-0005-0000-0000-000033020000}"/>
    <cellStyle name="Normalny 16 2 3 2" xfId="297" xr:uid="{00000000-0005-0000-0000-000034020000}"/>
    <cellStyle name="Normalny 16 2 3 2 2" xfId="618" xr:uid="{00000000-0005-0000-0000-000035020000}"/>
    <cellStyle name="Normalny 16 2 3 3" xfId="458" xr:uid="{00000000-0005-0000-0000-000036020000}"/>
    <cellStyle name="Normalny 16 2 4" xfId="217" xr:uid="{00000000-0005-0000-0000-000037020000}"/>
    <cellStyle name="Normalny 16 2 4 2" xfId="538" xr:uid="{00000000-0005-0000-0000-000038020000}"/>
    <cellStyle name="Normalny 16 2 5" xfId="378" xr:uid="{00000000-0005-0000-0000-000039020000}"/>
    <cellStyle name="Normalny 16 3" xfId="75" xr:uid="{00000000-0005-0000-0000-00003A020000}"/>
    <cellStyle name="Normalny 16 3 2" xfId="156" xr:uid="{00000000-0005-0000-0000-00003B020000}"/>
    <cellStyle name="Normalny 16 3 2 2" xfId="317" xr:uid="{00000000-0005-0000-0000-00003C020000}"/>
    <cellStyle name="Normalny 16 3 2 2 2" xfId="638" xr:uid="{00000000-0005-0000-0000-00003D020000}"/>
    <cellStyle name="Normalny 16 3 2 3" xfId="478" xr:uid="{00000000-0005-0000-0000-00003E020000}"/>
    <cellStyle name="Normalny 16 3 3" xfId="237" xr:uid="{00000000-0005-0000-0000-00003F020000}"/>
    <cellStyle name="Normalny 16 3 3 2" xfId="558" xr:uid="{00000000-0005-0000-0000-000040020000}"/>
    <cellStyle name="Normalny 16 3 4" xfId="398" xr:uid="{00000000-0005-0000-0000-000041020000}"/>
    <cellStyle name="Normalny 16 4" xfId="116" xr:uid="{00000000-0005-0000-0000-000042020000}"/>
    <cellStyle name="Normalny 16 4 2" xfId="277" xr:uid="{00000000-0005-0000-0000-000043020000}"/>
    <cellStyle name="Normalny 16 4 2 2" xfId="598" xr:uid="{00000000-0005-0000-0000-000044020000}"/>
    <cellStyle name="Normalny 16 4 3" xfId="438" xr:uid="{00000000-0005-0000-0000-000045020000}"/>
    <cellStyle name="Normalny 16 5" xfId="197" xr:uid="{00000000-0005-0000-0000-000046020000}"/>
    <cellStyle name="Normalny 16 5 2" xfId="518" xr:uid="{00000000-0005-0000-0000-000047020000}"/>
    <cellStyle name="Normalny 16 6" xfId="358" xr:uid="{00000000-0005-0000-0000-000048020000}"/>
    <cellStyle name="Normalny 17" xfId="25" xr:uid="{00000000-0005-0000-0000-000049020000}"/>
    <cellStyle name="Normalny 18" xfId="24" xr:uid="{00000000-0005-0000-0000-00004A020000}"/>
    <cellStyle name="Normalny 19" xfId="45" xr:uid="{00000000-0005-0000-0000-00004B020000}"/>
    <cellStyle name="Normalny 2" xfId="13" xr:uid="{00000000-0005-0000-0000-00004C020000}"/>
    <cellStyle name="Normalny 2 2" xfId="39" xr:uid="{00000000-0005-0000-0000-00004D020000}"/>
    <cellStyle name="Normalny 20" xfId="66" xr:uid="{00000000-0005-0000-0000-00004E020000}"/>
    <cellStyle name="Normalny 21" xfId="107" xr:uid="{00000000-0005-0000-0000-00004F020000}"/>
    <cellStyle name="Normalny 22" xfId="188" xr:uid="{00000000-0005-0000-0000-000050020000}"/>
    <cellStyle name="Normalny 23" xfId="349" xr:uid="{00000000-0005-0000-0000-000051020000}"/>
    <cellStyle name="Normalny 24" xfId="670" xr:uid="{CF9E1E15-0535-4245-A983-628802C8A6CF}"/>
    <cellStyle name="Normalny 3" xfId="14" xr:uid="{00000000-0005-0000-0000-000052020000}"/>
    <cellStyle name="Normalny 4" xfId="3" xr:uid="{00000000-0005-0000-0000-000053020000}"/>
    <cellStyle name="Normalny 41" xfId="15" xr:uid="{00000000-0005-0000-0000-000054020000}"/>
    <cellStyle name="Normalny 41 2" xfId="40" xr:uid="{00000000-0005-0000-0000-000055020000}"/>
    <cellStyle name="Normalny 5" xfId="16" xr:uid="{00000000-0005-0000-0000-000056020000}"/>
    <cellStyle name="Normalny 5 2" xfId="41" xr:uid="{00000000-0005-0000-0000-000057020000}"/>
    <cellStyle name="Normalny 5 2 2" xfId="65" xr:uid="{00000000-0005-0000-0000-000058020000}"/>
    <cellStyle name="Normalny 5 2 2 2" xfId="106" xr:uid="{00000000-0005-0000-0000-000059020000}"/>
    <cellStyle name="Normalny 5 2 2 2 2" xfId="187" xr:uid="{00000000-0005-0000-0000-00005A020000}"/>
    <cellStyle name="Normalny 5 2 2 2 2 2" xfId="348" xr:uid="{00000000-0005-0000-0000-00005B020000}"/>
    <cellStyle name="Normalny 5 2 2 2 2 2 2" xfId="669" xr:uid="{00000000-0005-0000-0000-00005C020000}"/>
    <cellStyle name="Normalny 5 2 2 2 2 3" xfId="509" xr:uid="{00000000-0005-0000-0000-00005D020000}"/>
    <cellStyle name="Normalny 5 2 2 2 3" xfId="268" xr:uid="{00000000-0005-0000-0000-00005E020000}"/>
    <cellStyle name="Normalny 5 2 2 2 3 2" xfId="589" xr:uid="{00000000-0005-0000-0000-00005F020000}"/>
    <cellStyle name="Normalny 5 2 2 2 4" xfId="429" xr:uid="{00000000-0005-0000-0000-000060020000}"/>
    <cellStyle name="Normalny 5 2 2 3" xfId="147" xr:uid="{00000000-0005-0000-0000-000061020000}"/>
    <cellStyle name="Normalny 5 2 2 3 2" xfId="308" xr:uid="{00000000-0005-0000-0000-000062020000}"/>
    <cellStyle name="Normalny 5 2 2 3 2 2" xfId="629" xr:uid="{00000000-0005-0000-0000-000063020000}"/>
    <cellStyle name="Normalny 5 2 2 3 3" xfId="469" xr:uid="{00000000-0005-0000-0000-000064020000}"/>
    <cellStyle name="Normalny 5 2 2 4" xfId="228" xr:uid="{00000000-0005-0000-0000-000065020000}"/>
    <cellStyle name="Normalny 5 2 2 4 2" xfId="549" xr:uid="{00000000-0005-0000-0000-000066020000}"/>
    <cellStyle name="Normalny 5 2 2 5" xfId="389" xr:uid="{00000000-0005-0000-0000-000067020000}"/>
    <cellStyle name="Normalny 5 2 3" xfId="86" xr:uid="{00000000-0005-0000-0000-000068020000}"/>
    <cellStyle name="Normalny 5 2 3 2" xfId="167" xr:uid="{00000000-0005-0000-0000-000069020000}"/>
    <cellStyle name="Normalny 5 2 3 2 2" xfId="328" xr:uid="{00000000-0005-0000-0000-00006A020000}"/>
    <cellStyle name="Normalny 5 2 3 2 2 2" xfId="649" xr:uid="{00000000-0005-0000-0000-00006B020000}"/>
    <cellStyle name="Normalny 5 2 3 2 3" xfId="489" xr:uid="{00000000-0005-0000-0000-00006C020000}"/>
    <cellStyle name="Normalny 5 2 3 3" xfId="248" xr:uid="{00000000-0005-0000-0000-00006D020000}"/>
    <cellStyle name="Normalny 5 2 3 3 2" xfId="569" xr:uid="{00000000-0005-0000-0000-00006E020000}"/>
    <cellStyle name="Normalny 5 2 3 4" xfId="409" xr:uid="{00000000-0005-0000-0000-00006F020000}"/>
    <cellStyle name="Normalny 5 2 4" xfId="127" xr:uid="{00000000-0005-0000-0000-000070020000}"/>
    <cellStyle name="Normalny 5 2 4 2" xfId="288" xr:uid="{00000000-0005-0000-0000-000071020000}"/>
    <cellStyle name="Normalny 5 2 4 2 2" xfId="609" xr:uid="{00000000-0005-0000-0000-000072020000}"/>
    <cellStyle name="Normalny 5 2 4 3" xfId="449" xr:uid="{00000000-0005-0000-0000-000073020000}"/>
    <cellStyle name="Normalny 5 2 5" xfId="208" xr:uid="{00000000-0005-0000-0000-000074020000}"/>
    <cellStyle name="Normalny 5 2 5 2" xfId="529" xr:uid="{00000000-0005-0000-0000-000075020000}"/>
    <cellStyle name="Normalny 5 2 6" xfId="369" xr:uid="{00000000-0005-0000-0000-000076020000}"/>
    <cellStyle name="Normalny 5 3" xfId="52" xr:uid="{00000000-0005-0000-0000-000077020000}"/>
    <cellStyle name="Normalny 5 3 2" xfId="93" xr:uid="{00000000-0005-0000-0000-000078020000}"/>
    <cellStyle name="Normalny 5 3 2 2" xfId="174" xr:uid="{00000000-0005-0000-0000-000079020000}"/>
    <cellStyle name="Normalny 5 3 2 2 2" xfId="335" xr:uid="{00000000-0005-0000-0000-00007A020000}"/>
    <cellStyle name="Normalny 5 3 2 2 2 2" xfId="656" xr:uid="{00000000-0005-0000-0000-00007B020000}"/>
    <cellStyle name="Normalny 5 3 2 2 3" xfId="496" xr:uid="{00000000-0005-0000-0000-00007C020000}"/>
    <cellStyle name="Normalny 5 3 2 3" xfId="255" xr:uid="{00000000-0005-0000-0000-00007D020000}"/>
    <cellStyle name="Normalny 5 3 2 3 2" xfId="576" xr:uid="{00000000-0005-0000-0000-00007E020000}"/>
    <cellStyle name="Normalny 5 3 2 4" xfId="416" xr:uid="{00000000-0005-0000-0000-00007F020000}"/>
    <cellStyle name="Normalny 5 3 3" xfId="134" xr:uid="{00000000-0005-0000-0000-000080020000}"/>
    <cellStyle name="Normalny 5 3 3 2" xfId="295" xr:uid="{00000000-0005-0000-0000-000081020000}"/>
    <cellStyle name="Normalny 5 3 3 2 2" xfId="616" xr:uid="{00000000-0005-0000-0000-000082020000}"/>
    <cellStyle name="Normalny 5 3 3 3" xfId="456" xr:uid="{00000000-0005-0000-0000-000083020000}"/>
    <cellStyle name="Normalny 5 3 4" xfId="215" xr:uid="{00000000-0005-0000-0000-000084020000}"/>
    <cellStyle name="Normalny 5 3 4 2" xfId="536" xr:uid="{00000000-0005-0000-0000-000085020000}"/>
    <cellStyle name="Normalny 5 3 5" xfId="376" xr:uid="{00000000-0005-0000-0000-000086020000}"/>
    <cellStyle name="Normalny 5 4" xfId="73" xr:uid="{00000000-0005-0000-0000-000087020000}"/>
    <cellStyle name="Normalny 5 4 2" xfId="154" xr:uid="{00000000-0005-0000-0000-000088020000}"/>
    <cellStyle name="Normalny 5 4 2 2" xfId="315" xr:uid="{00000000-0005-0000-0000-000089020000}"/>
    <cellStyle name="Normalny 5 4 2 2 2" xfId="636" xr:uid="{00000000-0005-0000-0000-00008A020000}"/>
    <cellStyle name="Normalny 5 4 2 3" xfId="476" xr:uid="{00000000-0005-0000-0000-00008B020000}"/>
    <cellStyle name="Normalny 5 4 3" xfId="235" xr:uid="{00000000-0005-0000-0000-00008C020000}"/>
    <cellStyle name="Normalny 5 4 3 2" xfId="556" xr:uid="{00000000-0005-0000-0000-00008D020000}"/>
    <cellStyle name="Normalny 5 4 4" xfId="396" xr:uid="{00000000-0005-0000-0000-00008E020000}"/>
    <cellStyle name="Normalny 5 5" xfId="114" xr:uid="{00000000-0005-0000-0000-00008F020000}"/>
    <cellStyle name="Normalny 5 5 2" xfId="275" xr:uid="{00000000-0005-0000-0000-000090020000}"/>
    <cellStyle name="Normalny 5 5 2 2" xfId="596" xr:uid="{00000000-0005-0000-0000-000091020000}"/>
    <cellStyle name="Normalny 5 5 3" xfId="436" xr:uid="{00000000-0005-0000-0000-000092020000}"/>
    <cellStyle name="Normalny 5 6" xfId="195" xr:uid="{00000000-0005-0000-0000-000093020000}"/>
    <cellStyle name="Normalny 5 6 2" xfId="516" xr:uid="{00000000-0005-0000-0000-000094020000}"/>
    <cellStyle name="Normalny 5 7" xfId="356" xr:uid="{00000000-0005-0000-0000-000095020000}"/>
    <cellStyle name="Normalny 6" xfId="2" xr:uid="{00000000-0005-0000-0000-000096020000}"/>
    <cellStyle name="Normalny 6 2" xfId="17" xr:uid="{00000000-0005-0000-0000-000097020000}"/>
    <cellStyle name="Normalny 7" xfId="18" xr:uid="{00000000-0005-0000-0000-000098020000}"/>
    <cellStyle name="Normalny 7 2" xfId="42" xr:uid="{00000000-0005-0000-0000-000099020000}"/>
    <cellStyle name="Normalny 8" xfId="19" xr:uid="{00000000-0005-0000-0000-00009A020000}"/>
    <cellStyle name="Normalny 8 2" xfId="43" xr:uid="{00000000-0005-0000-0000-00009B020000}"/>
    <cellStyle name="Normalny 9" xfId="20" xr:uid="{00000000-0005-0000-0000-00009C020000}"/>
    <cellStyle name="Procentowy 2" xfId="44" xr:uid="{00000000-0005-0000-0000-00009D02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470219</xdr:colOff>
      <xdr:row>0</xdr:row>
      <xdr:rowOff>0</xdr:rowOff>
    </xdr:from>
    <xdr:ext cx="1211580" cy="567690"/>
    <xdr:pic>
      <xdr:nvPicPr>
        <xdr:cNvPr id="2" name="Obraz 1">
          <a:extLst>
            <a:ext uri="{FF2B5EF4-FFF2-40B4-BE49-F238E27FC236}">
              <a16:creationId xmlns:a16="http://schemas.microsoft.com/office/drawing/2014/main" id="{5E483452-0DA7-4581-9C50-CE9D80AF505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219" y="0"/>
          <a:ext cx="1211580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11580" cy="567690"/>
    <xdr:pic>
      <xdr:nvPicPr>
        <xdr:cNvPr id="2" name="Obraz 1">
          <a:extLst>
            <a:ext uri="{FF2B5EF4-FFF2-40B4-BE49-F238E27FC236}">
              <a16:creationId xmlns:a16="http://schemas.microsoft.com/office/drawing/2014/main" id="{CC750A3E-F701-4A6C-ACD1-31A2E36B4A6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938" y="0"/>
          <a:ext cx="1211580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11580" cy="567690"/>
    <xdr:pic>
      <xdr:nvPicPr>
        <xdr:cNvPr id="2" name="Obraz 1">
          <a:extLst>
            <a:ext uri="{FF2B5EF4-FFF2-40B4-BE49-F238E27FC236}">
              <a16:creationId xmlns:a16="http://schemas.microsoft.com/office/drawing/2014/main" id="{41FCA422-8F31-4EA4-98CE-8009AFE8AFB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0"/>
          <a:ext cx="1211580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A001-7CED-4283-A3B7-6AE7DD90DBEA}">
  <sheetPr>
    <tabColor rgb="FF0070C0"/>
    <pageSetUpPr fitToPage="1"/>
  </sheetPr>
  <dimension ref="A4:AG50"/>
  <sheetViews>
    <sheetView showGridLines="0" zoomScale="120" zoomScaleNormal="120" zoomScaleSheetLayoutView="12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49" sqref="C49"/>
    </sheetView>
  </sheetViews>
  <sheetFormatPr defaultColWidth="8.85546875" defaultRowHeight="12.75"/>
  <cols>
    <col min="1" max="1" width="1" style="3" customWidth="1"/>
    <col min="2" max="2" width="34.42578125" style="3" customWidth="1"/>
    <col min="3" max="3" width="12.7109375" style="5" customWidth="1"/>
    <col min="4" max="4" width="0.85546875" style="3" customWidth="1"/>
    <col min="5" max="5" width="12.7109375" style="5" customWidth="1"/>
    <col min="6" max="6" width="0.85546875" style="3" customWidth="1"/>
    <col min="7" max="7" width="12.7109375" style="5" customWidth="1"/>
    <col min="8" max="8" width="0.85546875" style="3" customWidth="1"/>
    <col min="9" max="9" width="12.7109375" style="5" customWidth="1"/>
    <col min="10" max="10" width="0.85546875" style="3" customWidth="1"/>
    <col min="11" max="11" width="12.7109375" style="5" customWidth="1"/>
    <col min="12" max="12" width="0.85546875" style="3" customWidth="1"/>
    <col min="13" max="13" width="12.7109375" style="5" customWidth="1"/>
    <col min="14" max="14" width="0.85546875" style="3" customWidth="1"/>
    <col min="15" max="15" width="12.7109375" style="5" customWidth="1"/>
    <col min="16" max="16" width="0.85546875" style="3" customWidth="1"/>
    <col min="17" max="17" width="12.7109375" style="5" customWidth="1"/>
    <col min="18" max="18" width="0.85546875" style="3" customWidth="1"/>
    <col min="19" max="19" width="12.7109375" style="5" customWidth="1"/>
    <col min="20" max="20" width="0.85546875" style="3" customWidth="1"/>
    <col min="21" max="21" width="12.7109375" style="5" customWidth="1"/>
    <col min="22" max="22" width="0.85546875" style="3" customWidth="1"/>
    <col min="23" max="23" width="12.7109375" style="5" customWidth="1"/>
    <col min="24" max="24" width="0.85546875" style="3" customWidth="1"/>
    <col min="25" max="25" width="12.7109375" style="5" customWidth="1"/>
    <col min="26" max="26" width="0.85546875" style="3" customWidth="1"/>
    <col min="27" max="27" width="12.7109375" style="5" customWidth="1"/>
    <col min="28" max="28" width="0.85546875" style="3" customWidth="1"/>
    <col min="29" max="29" width="12.7109375" style="5" customWidth="1"/>
    <col min="30" max="30" width="0.85546875" style="3" customWidth="1"/>
    <col min="31" max="31" width="12.7109375" style="5" customWidth="1"/>
    <col min="32" max="32" width="0.85546875" style="3" customWidth="1"/>
    <col min="33" max="16384" width="8.85546875" style="3"/>
  </cols>
  <sheetData>
    <row r="4" spans="1:32" ht="18.75">
      <c r="B4" s="63" t="s">
        <v>62</v>
      </c>
    </row>
    <row r="5" spans="1:32" ht="13.5" thickBot="1"/>
    <row r="6" spans="1:32" ht="13.5" thickBot="1">
      <c r="B6" s="33" t="s">
        <v>113</v>
      </c>
    </row>
    <row r="7" spans="1:32" ht="13.5" thickBot="1">
      <c r="B7" s="64" t="s">
        <v>114</v>
      </c>
    </row>
    <row r="8" spans="1:32" hidden="1"/>
    <row r="9" spans="1:32" hidden="1"/>
    <row r="10" spans="1:32">
      <c r="A10" s="1"/>
      <c r="C10" s="6"/>
      <c r="E10" s="6"/>
      <c r="G10" s="6"/>
      <c r="I10" s="6"/>
      <c r="K10" s="6"/>
      <c r="M10" s="6"/>
      <c r="O10" s="6"/>
      <c r="Q10" s="6"/>
      <c r="S10" s="6"/>
      <c r="U10" s="6"/>
      <c r="W10" s="6"/>
      <c r="Y10" s="6"/>
      <c r="AA10" s="6"/>
      <c r="AC10" s="6"/>
      <c r="AE10" s="6"/>
    </row>
    <row r="11" spans="1:32" ht="23.25" thickBot="1">
      <c r="A11" s="1"/>
      <c r="B11" s="12" t="s">
        <v>0</v>
      </c>
      <c r="C11" s="6" t="s">
        <v>131</v>
      </c>
      <c r="E11" s="6" t="s">
        <v>129</v>
      </c>
      <c r="G11" s="6" t="s">
        <v>120</v>
      </c>
      <c r="I11" s="6" t="s">
        <v>121</v>
      </c>
      <c r="K11" s="6" t="s">
        <v>122</v>
      </c>
      <c r="M11" s="6" t="s">
        <v>102</v>
      </c>
      <c r="O11" s="6" t="s">
        <v>67</v>
      </c>
      <c r="Q11" s="6" t="s">
        <v>103</v>
      </c>
      <c r="S11" s="6" t="s">
        <v>104</v>
      </c>
      <c r="U11" s="6" t="s">
        <v>105</v>
      </c>
      <c r="W11" s="6" t="s">
        <v>68</v>
      </c>
      <c r="Y11" s="6" t="s">
        <v>112</v>
      </c>
      <c r="AA11" s="6" t="s">
        <v>117</v>
      </c>
      <c r="AC11" s="6" t="s">
        <v>110</v>
      </c>
      <c r="AE11" s="6" t="s">
        <v>111</v>
      </c>
    </row>
    <row r="12" spans="1:32" ht="13.5" thickBot="1">
      <c r="A12" s="1"/>
      <c r="B12" s="33" t="s">
        <v>1</v>
      </c>
      <c r="C12" s="34"/>
      <c r="D12" s="34"/>
      <c r="E12" s="34"/>
      <c r="F12" s="34"/>
      <c r="G12" s="62"/>
      <c r="H12" s="34"/>
      <c r="I12" s="34"/>
      <c r="J12" s="34"/>
      <c r="K12" s="34"/>
      <c r="L12" s="34"/>
      <c r="M12" s="34"/>
      <c r="N12" s="34"/>
      <c r="O12" s="62"/>
      <c r="P12" s="34"/>
      <c r="Q12" s="34"/>
      <c r="R12" s="34"/>
      <c r="S12" s="34"/>
      <c r="T12" s="34"/>
      <c r="U12" s="34"/>
      <c r="V12" s="34"/>
      <c r="W12" s="62"/>
      <c r="X12" s="34"/>
      <c r="Y12" s="34"/>
      <c r="Z12" s="34"/>
      <c r="AA12" s="34"/>
      <c r="AB12" s="34"/>
      <c r="AC12" s="62"/>
      <c r="AD12" s="34"/>
      <c r="AE12" s="62"/>
      <c r="AF12" s="34"/>
    </row>
    <row r="13" spans="1:32">
      <c r="A13" s="1"/>
      <c r="B13" s="15" t="s">
        <v>2</v>
      </c>
      <c r="C13" s="35">
        <f>376052.44-E13</f>
        <v>261934.06</v>
      </c>
      <c r="D13" s="36"/>
      <c r="E13" s="35">
        <v>114118.38</v>
      </c>
      <c r="F13" s="36"/>
      <c r="G13" s="35">
        <v>254424.19</v>
      </c>
      <c r="H13" s="36"/>
      <c r="I13" s="35">
        <v>82272.109999999986</v>
      </c>
      <c r="J13" s="36"/>
      <c r="K13" s="35">
        <f>67480.35-M13</f>
        <v>65980.350000000006</v>
      </c>
      <c r="L13" s="36"/>
      <c r="M13" s="35">
        <v>1500</v>
      </c>
      <c r="N13" s="36"/>
      <c r="O13" s="35">
        <v>572250.96</v>
      </c>
      <c r="P13" s="36"/>
      <c r="Q13" s="35">
        <v>116000</v>
      </c>
      <c r="R13" s="36"/>
      <c r="S13" s="35">
        <v>93600</v>
      </c>
      <c r="T13" s="36"/>
      <c r="U13" s="35">
        <v>333159.15000000002</v>
      </c>
      <c r="V13" s="36"/>
      <c r="W13" s="35">
        <v>1776176</v>
      </c>
      <c r="X13" s="36"/>
      <c r="Y13" s="35">
        <v>280000</v>
      </c>
      <c r="Z13" s="36"/>
      <c r="AA13" s="35">
        <v>453308.20999999996</v>
      </c>
      <c r="AB13" s="36"/>
      <c r="AC13" s="35">
        <v>1150508.47</v>
      </c>
      <c r="AD13" s="36"/>
      <c r="AE13" s="35">
        <v>981835.26</v>
      </c>
      <c r="AF13" s="36"/>
    </row>
    <row r="14" spans="1:32">
      <c r="A14" s="1"/>
      <c r="B14" s="15" t="s">
        <v>3</v>
      </c>
      <c r="C14" s="35">
        <f>118108.88-E14</f>
        <v>67655.59</v>
      </c>
      <c r="D14" s="36"/>
      <c r="E14" s="35">
        <v>50453.29</v>
      </c>
      <c r="F14" s="36"/>
      <c r="G14" s="35">
        <v>157146.67000000001</v>
      </c>
      <c r="H14" s="36"/>
      <c r="I14" s="35">
        <v>53411</v>
      </c>
      <c r="J14" s="36"/>
      <c r="K14" s="35">
        <f>58761-M14</f>
        <v>58761</v>
      </c>
      <c r="L14" s="36"/>
      <c r="M14" s="35">
        <v>0</v>
      </c>
      <c r="N14" s="36"/>
      <c r="O14" s="35">
        <v>272693.19</v>
      </c>
      <c r="P14" s="36"/>
      <c r="Q14" s="35">
        <v>49000</v>
      </c>
      <c r="R14" s="36"/>
      <c r="S14" s="35">
        <v>66000</v>
      </c>
      <c r="T14" s="36"/>
      <c r="U14" s="35">
        <v>158000</v>
      </c>
      <c r="V14" s="36"/>
      <c r="W14" s="35">
        <v>677249.24</v>
      </c>
      <c r="X14" s="36"/>
      <c r="Y14" s="35">
        <v>78000</v>
      </c>
      <c r="Z14" s="36"/>
      <c r="AA14" s="35">
        <v>174615.70999999996</v>
      </c>
      <c r="AB14" s="36"/>
      <c r="AC14" s="35">
        <v>402916.53</v>
      </c>
      <c r="AD14" s="36"/>
      <c r="AE14" s="35">
        <v>302525.95</v>
      </c>
      <c r="AF14" s="36"/>
    </row>
    <row r="15" spans="1:32">
      <c r="A15" s="1"/>
      <c r="B15" s="16" t="s">
        <v>4</v>
      </c>
      <c r="C15" s="37">
        <f t="shared" ref="C15:AE15" si="0">+C13-C14</f>
        <v>194278.47</v>
      </c>
      <c r="D15" s="36"/>
      <c r="E15" s="37">
        <f t="shared" si="0"/>
        <v>63665.090000000004</v>
      </c>
      <c r="F15" s="36"/>
      <c r="G15" s="37">
        <f t="shared" si="0"/>
        <v>97277.51999999999</v>
      </c>
      <c r="H15" s="36"/>
      <c r="I15" s="37">
        <f t="shared" si="0"/>
        <v>28861.109999999986</v>
      </c>
      <c r="J15" s="36"/>
      <c r="K15" s="37">
        <f t="shared" si="0"/>
        <v>7219.3500000000058</v>
      </c>
      <c r="L15" s="36"/>
      <c r="M15" s="37">
        <f t="shared" si="0"/>
        <v>1500</v>
      </c>
      <c r="N15" s="36"/>
      <c r="O15" s="37">
        <f t="shared" si="0"/>
        <v>299557.76999999996</v>
      </c>
      <c r="P15" s="36"/>
      <c r="Q15" s="37">
        <f t="shared" si="0"/>
        <v>67000</v>
      </c>
      <c r="R15" s="36"/>
      <c r="S15" s="37">
        <f t="shared" si="0"/>
        <v>27600</v>
      </c>
      <c r="T15" s="36"/>
      <c r="U15" s="37">
        <f t="shared" si="0"/>
        <v>175159.15000000002</v>
      </c>
      <c r="V15" s="36"/>
      <c r="W15" s="37">
        <f t="shared" si="0"/>
        <v>1098926.76</v>
      </c>
      <c r="X15" s="36"/>
      <c r="Y15" s="37">
        <f t="shared" ref="Y15" si="1">+Y13-Y14</f>
        <v>202000</v>
      </c>
      <c r="Z15" s="36"/>
      <c r="AA15" s="37">
        <f t="shared" ref="AA15" si="2">+AA13-AA14</f>
        <v>278692.5</v>
      </c>
      <c r="AB15" s="36"/>
      <c r="AC15" s="37">
        <f t="shared" si="0"/>
        <v>747591.94</v>
      </c>
      <c r="AD15" s="36"/>
      <c r="AE15" s="37">
        <f t="shared" si="0"/>
        <v>679309.31</v>
      </c>
      <c r="AF15" s="36"/>
    </row>
    <row r="16" spans="1:32">
      <c r="A16" s="1"/>
      <c r="B16" s="17"/>
      <c r="C16" s="38"/>
      <c r="D16" s="36"/>
      <c r="E16" s="38"/>
      <c r="F16" s="36"/>
      <c r="G16" s="38"/>
      <c r="H16" s="36"/>
      <c r="I16" s="38"/>
      <c r="J16" s="36"/>
      <c r="K16" s="38"/>
      <c r="L16" s="36"/>
      <c r="M16" s="38"/>
      <c r="N16" s="36"/>
      <c r="O16" s="38"/>
      <c r="P16" s="36"/>
      <c r="Q16" s="38"/>
      <c r="R16" s="36"/>
      <c r="S16" s="38"/>
      <c r="T16" s="36"/>
      <c r="U16" s="38"/>
      <c r="V16" s="36"/>
      <c r="W16" s="38"/>
      <c r="X16" s="36"/>
      <c r="Y16" s="38"/>
      <c r="Z16" s="36"/>
      <c r="AA16" s="38"/>
      <c r="AB16" s="36"/>
      <c r="AC16" s="38"/>
      <c r="AD16" s="36"/>
      <c r="AE16" s="38"/>
      <c r="AF16" s="36"/>
    </row>
    <row r="17" spans="1:33">
      <c r="A17" s="1"/>
      <c r="B17" s="15" t="s">
        <v>5</v>
      </c>
      <c r="C17" s="35">
        <f>6146517.71-E17</f>
        <v>3148145.07</v>
      </c>
      <c r="D17" s="36"/>
      <c r="E17" s="35">
        <v>2998372.64</v>
      </c>
      <c r="F17" s="36"/>
      <c r="G17" s="35">
        <v>17778157.810000002</v>
      </c>
      <c r="H17" s="36"/>
      <c r="I17" s="35">
        <v>3065335.8499999996</v>
      </c>
      <c r="J17" s="36"/>
      <c r="K17" s="35">
        <f>7021915.85-M17</f>
        <v>3314767.4899999993</v>
      </c>
      <c r="L17" s="36"/>
      <c r="M17" s="35">
        <v>3707148.3600000003</v>
      </c>
      <c r="N17" s="36"/>
      <c r="O17" s="35">
        <v>16086851.970000003</v>
      </c>
      <c r="P17" s="36"/>
      <c r="Q17" s="35">
        <v>5504000</v>
      </c>
      <c r="R17" s="36"/>
      <c r="S17" s="35">
        <v>3206078.6004999997</v>
      </c>
      <c r="T17" s="36"/>
      <c r="U17" s="35">
        <v>3497058.5949999997</v>
      </c>
      <c r="V17" s="36"/>
      <c r="W17" s="35">
        <v>11926586.699999999</v>
      </c>
      <c r="X17" s="36"/>
      <c r="Y17" s="35">
        <v>4028000</v>
      </c>
      <c r="Z17" s="36"/>
      <c r="AA17" s="35">
        <v>2449444.97682</v>
      </c>
      <c r="AB17" s="36"/>
      <c r="AC17" s="35">
        <v>4958274.2625000002</v>
      </c>
      <c r="AD17" s="36"/>
      <c r="AE17" s="35">
        <v>2842076.6780000003</v>
      </c>
      <c r="AF17" s="36"/>
    </row>
    <row r="18" spans="1:33" ht="24">
      <c r="A18" s="1"/>
      <c r="B18" s="15" t="s">
        <v>6</v>
      </c>
      <c r="C18" s="35"/>
      <c r="D18" s="36"/>
      <c r="E18" s="35">
        <v>0</v>
      </c>
      <c r="F18" s="36"/>
      <c r="G18" s="35"/>
      <c r="H18" s="36"/>
      <c r="I18" s="35">
        <v>0</v>
      </c>
      <c r="J18" s="36"/>
      <c r="K18" s="35">
        <v>0</v>
      </c>
      <c r="L18" s="36"/>
      <c r="M18" s="35">
        <v>0</v>
      </c>
      <c r="N18" s="36"/>
      <c r="O18" s="35">
        <v>0</v>
      </c>
      <c r="P18" s="36"/>
      <c r="Q18" s="35">
        <v>0</v>
      </c>
      <c r="R18" s="36"/>
      <c r="S18" s="35">
        <v>0</v>
      </c>
      <c r="T18" s="36"/>
      <c r="U18" s="35">
        <v>0</v>
      </c>
      <c r="V18" s="36"/>
      <c r="W18" s="35"/>
      <c r="X18" s="36"/>
      <c r="Y18" s="35">
        <v>0</v>
      </c>
      <c r="Z18" s="36"/>
      <c r="AA18" s="35">
        <v>0</v>
      </c>
      <c r="AB18" s="36"/>
      <c r="AC18" s="35">
        <v>0</v>
      </c>
      <c r="AD18" s="36"/>
      <c r="AE18" s="35">
        <v>0</v>
      </c>
      <c r="AF18" s="36"/>
    </row>
    <row r="19" spans="1:33">
      <c r="A19" s="1"/>
      <c r="B19" s="15" t="s">
        <v>7</v>
      </c>
      <c r="C19" s="35">
        <f>9609035.3-E19</f>
        <v>4670817.82</v>
      </c>
      <c r="D19" s="36"/>
      <c r="E19" s="35">
        <v>4938217.4800000004</v>
      </c>
      <c r="F19" s="36"/>
      <c r="G19" s="67">
        <v>20580169.16</v>
      </c>
      <c r="H19" s="36"/>
      <c r="I19" s="35">
        <v>4235010.7799999993</v>
      </c>
      <c r="J19" s="36"/>
      <c r="K19" s="35">
        <f>9080076.64-M19</f>
        <v>4385297.4300000006</v>
      </c>
      <c r="L19" s="36"/>
      <c r="M19" s="35">
        <v>4694779.21</v>
      </c>
      <c r="N19" s="36"/>
      <c r="O19" s="35">
        <v>18385819.09</v>
      </c>
      <c r="P19" s="36"/>
      <c r="Q19" s="35">
        <v>4038000</v>
      </c>
      <c r="R19" s="36"/>
      <c r="S19" s="35">
        <v>4063806.4430705905</v>
      </c>
      <c r="T19" s="36"/>
      <c r="U19" s="35">
        <v>3922438.7699999996</v>
      </c>
      <c r="V19" s="36"/>
      <c r="W19" s="35">
        <v>12243284.16</v>
      </c>
      <c r="X19" s="36"/>
      <c r="Y19" s="35">
        <v>3125000</v>
      </c>
      <c r="Z19" s="36"/>
      <c r="AA19" s="35">
        <v>3022118.0599999996</v>
      </c>
      <c r="AB19" s="36"/>
      <c r="AC19" s="35">
        <v>5860990.9900000002</v>
      </c>
      <c r="AD19" s="36"/>
      <c r="AE19" s="35">
        <v>2778553.29</v>
      </c>
      <c r="AF19" s="36"/>
      <c r="AG19" s="66">
        <v>9599</v>
      </c>
    </row>
    <row r="20" spans="1:33">
      <c r="A20" s="1"/>
      <c r="B20" s="15" t="s">
        <v>8</v>
      </c>
      <c r="C20" s="35"/>
      <c r="D20" s="36"/>
      <c r="E20" s="35"/>
      <c r="F20" s="36"/>
      <c r="G20" s="68"/>
      <c r="H20" s="36"/>
      <c r="I20" s="35">
        <v>1469932.4199999997</v>
      </c>
      <c r="J20" s="36"/>
      <c r="K20" s="35">
        <f>1884388.9-M20</f>
        <v>1008988.62</v>
      </c>
      <c r="L20" s="36"/>
      <c r="M20" s="35">
        <v>875400.27999999991</v>
      </c>
      <c r="N20" s="36"/>
      <c r="O20" s="35">
        <v>3642904.85</v>
      </c>
      <c r="P20" s="36"/>
      <c r="Q20" s="35">
        <v>1589000</v>
      </c>
      <c r="R20" s="36"/>
      <c r="S20" s="35">
        <v>674405.46415954013</v>
      </c>
      <c r="T20" s="36"/>
      <c r="U20" s="35">
        <v>730513.96584046003</v>
      </c>
      <c r="V20" s="36"/>
      <c r="W20" s="35">
        <v>2682291.02</v>
      </c>
      <c r="X20" s="36"/>
      <c r="Y20" s="35">
        <v>1353000</v>
      </c>
      <c r="Z20" s="36"/>
      <c r="AA20" s="35">
        <v>353237.45337935316</v>
      </c>
      <c r="AB20" s="36"/>
      <c r="AC20" s="35">
        <v>1284256.7599999998</v>
      </c>
      <c r="AD20" s="36"/>
      <c r="AE20" s="35">
        <v>608834.86</v>
      </c>
      <c r="AF20" s="36"/>
      <c r="AG20" s="66"/>
    </row>
    <row r="21" spans="1:33">
      <c r="A21" s="1"/>
      <c r="B21" s="16" t="s">
        <v>9</v>
      </c>
      <c r="C21" s="37">
        <f>C17-C19</f>
        <v>-1522672.7500000005</v>
      </c>
      <c r="D21" s="36"/>
      <c r="E21" s="37">
        <f>E17-E19</f>
        <v>-1939844.8400000003</v>
      </c>
      <c r="F21" s="36"/>
      <c r="G21" s="37">
        <f>G17-G19</f>
        <v>-2802011.3499999978</v>
      </c>
      <c r="H21" s="36"/>
      <c r="I21" s="37">
        <f>+I17-I19-I20</f>
        <v>-2639607.3499999996</v>
      </c>
      <c r="J21" s="36"/>
      <c r="K21" s="37">
        <f>+K17-K19-K20</f>
        <v>-2079518.5600000015</v>
      </c>
      <c r="L21" s="36"/>
      <c r="M21" s="37">
        <f>+M17-M19-M20</f>
        <v>-1863031.1299999994</v>
      </c>
      <c r="N21" s="36"/>
      <c r="O21" s="37">
        <f t="shared" ref="O21:AE21" si="3">+O17-O19-O20</f>
        <v>-5941871.9699999969</v>
      </c>
      <c r="P21" s="36"/>
      <c r="Q21" s="37">
        <f t="shared" si="3"/>
        <v>-123000</v>
      </c>
      <c r="R21" s="36"/>
      <c r="S21" s="37">
        <f t="shared" si="3"/>
        <v>-1532133.3067301309</v>
      </c>
      <c r="T21" s="36"/>
      <c r="U21" s="37">
        <f t="shared" si="3"/>
        <v>-1155894.1408404598</v>
      </c>
      <c r="V21" s="36"/>
      <c r="W21" s="37">
        <f t="shared" si="3"/>
        <v>-2998988.4800000009</v>
      </c>
      <c r="X21" s="36"/>
      <c r="Y21" s="37">
        <f t="shared" ref="Y21" si="4">+Y17-Y19-Y20</f>
        <v>-450000</v>
      </c>
      <c r="Z21" s="36"/>
      <c r="AA21" s="37">
        <f t="shared" ref="AA21" si="5">+AA17-AA19-AA20</f>
        <v>-925910.53655935277</v>
      </c>
      <c r="AB21" s="36"/>
      <c r="AC21" s="37">
        <f t="shared" si="3"/>
        <v>-2186973.4874999998</v>
      </c>
      <c r="AD21" s="36"/>
      <c r="AE21" s="37">
        <f t="shared" si="3"/>
        <v>-545311.47199999972</v>
      </c>
      <c r="AF21" s="36"/>
    </row>
    <row r="22" spans="1:33">
      <c r="A22" s="1"/>
      <c r="B22" s="17"/>
      <c r="C22" s="38"/>
      <c r="D22" s="36"/>
      <c r="E22" s="38"/>
      <c r="F22" s="36"/>
      <c r="G22" s="38"/>
      <c r="H22" s="36"/>
      <c r="I22" s="38"/>
      <c r="J22" s="36"/>
      <c r="K22" s="38"/>
      <c r="L22" s="36"/>
      <c r="M22" s="38"/>
      <c r="N22" s="36"/>
      <c r="O22" s="38"/>
      <c r="P22" s="36"/>
      <c r="Q22" s="38"/>
      <c r="R22" s="36"/>
      <c r="S22" s="38"/>
      <c r="T22" s="36"/>
      <c r="U22" s="38"/>
      <c r="V22" s="36"/>
      <c r="W22" s="38"/>
      <c r="X22" s="36"/>
      <c r="Y22" s="38"/>
      <c r="Z22" s="36"/>
      <c r="AA22" s="38"/>
      <c r="AB22" s="36"/>
      <c r="AC22" s="38"/>
      <c r="AD22" s="36"/>
      <c r="AE22" s="38"/>
      <c r="AF22" s="36"/>
    </row>
    <row r="23" spans="1:33">
      <c r="A23" s="1"/>
      <c r="B23" s="15" t="s">
        <v>10</v>
      </c>
      <c r="C23" s="35">
        <f>7833907.93-E23</f>
        <v>4250084.68</v>
      </c>
      <c r="D23" s="36"/>
      <c r="E23" s="35">
        <v>3583823.25</v>
      </c>
      <c r="F23" s="36"/>
      <c r="G23" s="35">
        <v>7755017.96</v>
      </c>
      <c r="H23" s="36"/>
      <c r="I23" s="35">
        <v>1496174.1499999994</v>
      </c>
      <c r="J23" s="36"/>
      <c r="K23" s="35">
        <f>2644814.08-M23</f>
        <v>1444674.76</v>
      </c>
      <c r="L23" s="36"/>
      <c r="M23" s="35">
        <v>1200139.32</v>
      </c>
      <c r="N23" s="36"/>
      <c r="O23" s="35">
        <v>6013929.3199999994</v>
      </c>
      <c r="P23" s="36"/>
      <c r="Q23" s="35">
        <v>1338000</v>
      </c>
      <c r="R23" s="36"/>
      <c r="S23" s="35">
        <v>1007660.4266666665</v>
      </c>
      <c r="T23" s="36"/>
      <c r="U23" s="35">
        <v>1097789.1433333335</v>
      </c>
      <c r="V23" s="36"/>
      <c r="W23" s="35">
        <v>1987894.99</v>
      </c>
      <c r="X23" s="36"/>
      <c r="Y23" s="35">
        <v>487000</v>
      </c>
      <c r="Z23" s="36"/>
      <c r="AA23" s="35">
        <v>432301.8600000001</v>
      </c>
      <c r="AB23" s="36"/>
      <c r="AC23" s="35">
        <v>1539613.1871116399</v>
      </c>
      <c r="AD23" s="36"/>
      <c r="AE23" s="35">
        <v>556468.99840673141</v>
      </c>
      <c r="AF23" s="36"/>
    </row>
    <row r="24" spans="1:33">
      <c r="A24" s="1"/>
      <c r="B24" s="15" t="s">
        <v>11</v>
      </c>
      <c r="C24" s="35">
        <f>59668.12-E24</f>
        <v>49732.53</v>
      </c>
      <c r="D24" s="36"/>
      <c r="E24" s="35">
        <v>9935.59</v>
      </c>
      <c r="F24" s="36"/>
      <c r="G24" s="35">
        <v>29185.94</v>
      </c>
      <c r="H24" s="36"/>
      <c r="I24" s="35">
        <v>135.13999999999987</v>
      </c>
      <c r="J24" s="36"/>
      <c r="K24" s="35">
        <v>1282.45</v>
      </c>
      <c r="L24" s="36"/>
      <c r="M24" s="35">
        <v>135</v>
      </c>
      <c r="N24" s="36"/>
      <c r="O24" s="35">
        <v>163914.32999999999</v>
      </c>
      <c r="P24" s="36"/>
      <c r="Q24" s="35">
        <v>-7000</v>
      </c>
      <c r="R24" s="36"/>
      <c r="S24" s="35">
        <v>6417.84</v>
      </c>
      <c r="T24" s="36"/>
      <c r="U24" s="35">
        <v>136.01000000000022</v>
      </c>
      <c r="V24" s="36"/>
      <c r="W24" s="35">
        <v>43378.33</v>
      </c>
      <c r="X24" s="36"/>
      <c r="Y24" s="35">
        <v>0</v>
      </c>
      <c r="Z24" s="36"/>
      <c r="AA24" s="35">
        <v>10238.710000000001</v>
      </c>
      <c r="AB24" s="36"/>
      <c r="AC24" s="35">
        <v>51448.04</v>
      </c>
      <c r="AD24" s="36"/>
      <c r="AE24" s="35">
        <v>111062.06</v>
      </c>
      <c r="AF24" s="36"/>
    </row>
    <row r="25" spans="1:33">
      <c r="A25" s="1"/>
      <c r="B25" s="15" t="s">
        <v>12</v>
      </c>
      <c r="C25" s="35">
        <f>1243.06-E25</f>
        <v>1243.06</v>
      </c>
      <c r="D25" s="36"/>
      <c r="E25" s="35">
        <v>0</v>
      </c>
      <c r="F25" s="36"/>
      <c r="G25" s="35">
        <v>51212.17</v>
      </c>
      <c r="H25" s="36"/>
      <c r="I25" s="35">
        <v>0</v>
      </c>
      <c r="J25" s="36"/>
      <c r="K25" s="35">
        <v>2.09</v>
      </c>
      <c r="L25" s="36"/>
      <c r="M25" s="35">
        <v>0</v>
      </c>
      <c r="N25" s="36"/>
      <c r="O25" s="35">
        <v>61881.23</v>
      </c>
      <c r="P25" s="36"/>
      <c r="Q25" s="35">
        <v>40000</v>
      </c>
      <c r="R25" s="36"/>
      <c r="S25" s="35">
        <v>0</v>
      </c>
      <c r="T25" s="36"/>
      <c r="U25" s="35">
        <v>1.1100000000000001</v>
      </c>
      <c r="V25" s="36"/>
      <c r="W25" s="35">
        <v>25738.09</v>
      </c>
      <c r="X25" s="36"/>
      <c r="Y25" s="35">
        <v>-54000</v>
      </c>
      <c r="Z25" s="36"/>
      <c r="AA25" s="35">
        <v>83668.86</v>
      </c>
      <c r="AB25" s="36"/>
      <c r="AC25" s="35">
        <v>14579.050000000047</v>
      </c>
      <c r="AD25" s="36"/>
      <c r="AE25" s="35">
        <v>7710.21</v>
      </c>
      <c r="AF25" s="36"/>
    </row>
    <row r="26" spans="1:33">
      <c r="A26" s="1"/>
      <c r="B26" s="16" t="s">
        <v>13</v>
      </c>
      <c r="C26" s="37">
        <f t="shared" ref="C26:G26" si="6">+C21-C23-C25+C15+C24</f>
        <v>-5529989.4899999993</v>
      </c>
      <c r="D26" s="36"/>
      <c r="E26" s="37">
        <f t="shared" si="6"/>
        <v>-5450067.4100000001</v>
      </c>
      <c r="F26" s="36"/>
      <c r="G26" s="37">
        <f t="shared" si="6"/>
        <v>-10481778.02</v>
      </c>
      <c r="H26" s="36"/>
      <c r="I26" s="37">
        <f t="shared" ref="I26" si="7">+I21-I23-I25+I15+I24</f>
        <v>-4106785.2499999991</v>
      </c>
      <c r="J26" s="36"/>
      <c r="K26" s="37">
        <f t="shared" ref="K26:AE26" si="8">+K21-K23-K25+K15+K24</f>
        <v>-3515693.6100000008</v>
      </c>
      <c r="L26" s="36"/>
      <c r="M26" s="37">
        <f t="shared" si="8"/>
        <v>-3061535.4499999993</v>
      </c>
      <c r="N26" s="36"/>
      <c r="O26" s="37">
        <f t="shared" si="8"/>
        <v>-11554210.419999996</v>
      </c>
      <c r="P26" s="36"/>
      <c r="Q26" s="37">
        <f t="shared" si="8"/>
        <v>-1441000</v>
      </c>
      <c r="R26" s="36"/>
      <c r="S26" s="37">
        <f t="shared" si="8"/>
        <v>-2505775.8933967976</v>
      </c>
      <c r="T26" s="36"/>
      <c r="U26" s="37">
        <f t="shared" si="8"/>
        <v>-2078389.2341737931</v>
      </c>
      <c r="V26" s="36"/>
      <c r="W26" s="37">
        <f t="shared" si="8"/>
        <v>-3870316.4700000007</v>
      </c>
      <c r="X26" s="36"/>
      <c r="Y26" s="37">
        <f t="shared" ref="Y26" si="9">+Y21-Y23-Y25+Y15+Y24</f>
        <v>-681000</v>
      </c>
      <c r="Z26" s="36"/>
      <c r="AA26" s="37">
        <f t="shared" ref="AA26" si="10">+AA21-AA23-AA25+AA15+AA24</f>
        <v>-1152950.0465593531</v>
      </c>
      <c r="AB26" s="36"/>
      <c r="AC26" s="37">
        <f t="shared" si="8"/>
        <v>-2942125.74461164</v>
      </c>
      <c r="AD26" s="36"/>
      <c r="AE26" s="37">
        <f t="shared" si="8"/>
        <v>-319119.31040673103</v>
      </c>
      <c r="AF26" s="36"/>
    </row>
    <row r="27" spans="1:33">
      <c r="A27" s="1"/>
      <c r="B27" s="16"/>
      <c r="C27" s="39"/>
      <c r="D27" s="36"/>
      <c r="E27" s="39"/>
      <c r="F27" s="36"/>
      <c r="G27" s="39"/>
      <c r="H27" s="36"/>
      <c r="I27" s="39"/>
      <c r="J27" s="36"/>
      <c r="K27" s="39"/>
      <c r="L27" s="36"/>
      <c r="M27" s="39"/>
      <c r="N27" s="36"/>
      <c r="O27" s="39"/>
      <c r="P27" s="36"/>
      <c r="Q27" s="39"/>
      <c r="R27" s="36"/>
      <c r="S27" s="39"/>
      <c r="T27" s="36"/>
      <c r="U27" s="39"/>
      <c r="V27" s="36"/>
      <c r="W27" s="39"/>
      <c r="X27" s="36"/>
      <c r="Y27" s="39"/>
      <c r="Z27" s="36"/>
      <c r="AA27" s="39"/>
      <c r="AB27" s="36"/>
      <c r="AC27" s="39"/>
      <c r="AD27" s="36"/>
      <c r="AE27" s="39"/>
      <c r="AF27" s="36"/>
    </row>
    <row r="28" spans="1:33">
      <c r="A28" s="1"/>
      <c r="B28" s="15" t="s">
        <v>14</v>
      </c>
      <c r="C28" s="35">
        <f>10478.33-E28</f>
        <v>0</v>
      </c>
      <c r="D28" s="36"/>
      <c r="E28" s="35">
        <v>10478.33</v>
      </c>
      <c r="F28" s="36"/>
      <c r="G28" s="35">
        <v>92551.33</v>
      </c>
      <c r="H28" s="36"/>
      <c r="I28" s="35">
        <v>4533.3600000000006</v>
      </c>
      <c r="J28" s="36"/>
      <c r="K28" s="35">
        <v>13097.93</v>
      </c>
      <c r="L28" s="36"/>
      <c r="M28" s="35">
        <v>0</v>
      </c>
      <c r="N28" s="36"/>
      <c r="O28" s="35">
        <v>147443.4</v>
      </c>
      <c r="P28" s="36"/>
      <c r="Q28" s="35">
        <v>6000</v>
      </c>
      <c r="R28" s="36"/>
      <c r="S28" s="35">
        <v>19236.63</v>
      </c>
      <c r="T28" s="36"/>
      <c r="U28" s="35">
        <v>3024.2099999999991</v>
      </c>
      <c r="V28" s="36"/>
      <c r="W28" s="35">
        <v>3647.53</v>
      </c>
      <c r="X28" s="36"/>
      <c r="Y28" s="35">
        <v>4000</v>
      </c>
      <c r="Z28" s="36"/>
      <c r="AA28" s="35">
        <v>0</v>
      </c>
      <c r="AB28" s="36"/>
      <c r="AC28" s="35">
        <v>0</v>
      </c>
      <c r="AD28" s="36"/>
      <c r="AE28" s="35">
        <v>0</v>
      </c>
      <c r="AF28" s="36"/>
    </row>
    <row r="29" spans="1:33">
      <c r="A29" s="1"/>
      <c r="B29" s="15" t="s">
        <v>15</v>
      </c>
      <c r="C29" s="35">
        <f>1053464.24-E29</f>
        <v>133317.59999999998</v>
      </c>
      <c r="D29" s="36"/>
      <c r="E29" s="35">
        <v>920146.64</v>
      </c>
      <c r="F29" s="36"/>
      <c r="G29" s="35">
        <v>1375628.98</v>
      </c>
      <c r="H29" s="36"/>
      <c r="I29" s="35">
        <v>173410.86000000002</v>
      </c>
      <c r="J29" s="36"/>
      <c r="K29" s="35">
        <f>232039.13-M29</f>
        <v>161186.99</v>
      </c>
      <c r="L29" s="36"/>
      <c r="M29" s="35">
        <v>70852.14</v>
      </c>
      <c r="N29" s="36"/>
      <c r="O29" s="35">
        <v>348821.89</v>
      </c>
      <c r="P29" s="36"/>
      <c r="Q29" s="35">
        <v>1205000</v>
      </c>
      <c r="R29" s="36"/>
      <c r="S29" s="35">
        <v>147520.42229457432</v>
      </c>
      <c r="T29" s="36"/>
      <c r="U29" s="35">
        <v>36066.979999999981</v>
      </c>
      <c r="V29" s="36"/>
      <c r="W29" s="35">
        <v>328677.21000000002</v>
      </c>
      <c r="X29" s="36"/>
      <c r="Y29" s="35">
        <v>85000</v>
      </c>
      <c r="Z29" s="36"/>
      <c r="AA29" s="35">
        <v>110052.86346639552</v>
      </c>
      <c r="AB29" s="36"/>
      <c r="AC29" s="35">
        <v>139667.39282454966</v>
      </c>
      <c r="AD29" s="36"/>
      <c r="AE29" s="35">
        <v>77702.917677023972</v>
      </c>
      <c r="AF29" s="36"/>
    </row>
    <row r="30" spans="1:33">
      <c r="A30" s="1"/>
      <c r="B30" s="16" t="s">
        <v>16</v>
      </c>
      <c r="C30" s="37">
        <f t="shared" ref="C30:G30" si="11">+C26+C28-C29</f>
        <v>-5663307.0899999989</v>
      </c>
      <c r="D30" s="36"/>
      <c r="E30" s="37">
        <f t="shared" si="11"/>
        <v>-6359735.7199999997</v>
      </c>
      <c r="F30" s="36"/>
      <c r="G30" s="37">
        <f t="shared" si="11"/>
        <v>-11764855.67</v>
      </c>
      <c r="H30" s="36"/>
      <c r="I30" s="37">
        <f t="shared" ref="I30:AE30" si="12">+I26+I28-I29</f>
        <v>-4275662.7499999991</v>
      </c>
      <c r="J30" s="36"/>
      <c r="K30" s="37">
        <f t="shared" si="12"/>
        <v>-3663782.6700000009</v>
      </c>
      <c r="L30" s="36"/>
      <c r="M30" s="37">
        <f t="shared" si="12"/>
        <v>-3132387.5899999994</v>
      </c>
      <c r="N30" s="36"/>
      <c r="O30" s="37">
        <f t="shared" si="12"/>
        <v>-11755588.909999996</v>
      </c>
      <c r="P30" s="36"/>
      <c r="Q30" s="37">
        <f t="shared" si="12"/>
        <v>-2640000</v>
      </c>
      <c r="R30" s="36"/>
      <c r="S30" s="37">
        <f t="shared" si="12"/>
        <v>-2634059.685691372</v>
      </c>
      <c r="T30" s="36"/>
      <c r="U30" s="37">
        <f t="shared" si="12"/>
        <v>-2111432.0041737929</v>
      </c>
      <c r="V30" s="36"/>
      <c r="W30" s="37">
        <f t="shared" si="12"/>
        <v>-4195346.1500000013</v>
      </c>
      <c r="X30" s="36"/>
      <c r="Y30" s="37">
        <f t="shared" ref="Y30" si="13">+Y26+Y28-Y29</f>
        <v>-762000</v>
      </c>
      <c r="Z30" s="36"/>
      <c r="AA30" s="37">
        <f t="shared" ref="AA30" si="14">+AA26+AA28-AA29</f>
        <v>-1263002.9100257487</v>
      </c>
      <c r="AB30" s="36"/>
      <c r="AC30" s="37">
        <f t="shared" si="12"/>
        <v>-3081793.1374361897</v>
      </c>
      <c r="AD30" s="36"/>
      <c r="AE30" s="37">
        <f t="shared" si="12"/>
        <v>-396822.22808375501</v>
      </c>
      <c r="AF30" s="36"/>
    </row>
    <row r="31" spans="1:33">
      <c r="A31" s="1"/>
      <c r="B31" s="16"/>
      <c r="C31" s="39"/>
      <c r="D31" s="36"/>
      <c r="E31" s="39"/>
      <c r="F31" s="36"/>
      <c r="G31" s="39"/>
      <c r="H31" s="36"/>
      <c r="I31" s="39"/>
      <c r="J31" s="36"/>
      <c r="K31" s="39"/>
      <c r="L31" s="36"/>
      <c r="M31" s="39"/>
      <c r="N31" s="36"/>
      <c r="O31" s="39"/>
      <c r="P31" s="36"/>
      <c r="Q31" s="39"/>
      <c r="R31" s="36"/>
      <c r="S31" s="39"/>
      <c r="T31" s="36"/>
      <c r="U31" s="39"/>
      <c r="V31" s="36"/>
      <c r="W31" s="39"/>
      <c r="X31" s="36"/>
      <c r="Y31" s="39"/>
      <c r="Z31" s="36"/>
      <c r="AA31" s="39"/>
      <c r="AB31" s="36"/>
      <c r="AC31" s="39"/>
      <c r="AD31" s="36"/>
      <c r="AE31" s="39"/>
      <c r="AF31" s="36"/>
    </row>
    <row r="32" spans="1:33">
      <c r="A32" s="1"/>
      <c r="B32" s="15" t="s">
        <v>18</v>
      </c>
      <c r="C32" s="35"/>
      <c r="D32" s="36"/>
      <c r="E32" s="35"/>
      <c r="F32" s="36"/>
      <c r="G32" s="35">
        <v>0</v>
      </c>
      <c r="H32" s="36"/>
      <c r="I32" s="35">
        <v>0</v>
      </c>
      <c r="J32" s="36"/>
      <c r="K32" s="35">
        <v>0</v>
      </c>
      <c r="L32" s="36"/>
      <c r="M32" s="35">
        <v>0</v>
      </c>
      <c r="N32" s="36"/>
      <c r="O32" s="35">
        <v>0</v>
      </c>
      <c r="P32" s="36"/>
      <c r="Q32" s="35">
        <v>0</v>
      </c>
      <c r="R32" s="36"/>
      <c r="S32" s="35">
        <v>0</v>
      </c>
      <c r="T32" s="36"/>
      <c r="U32" s="35"/>
      <c r="V32" s="36"/>
      <c r="W32" s="35">
        <v>0</v>
      </c>
      <c r="X32" s="36"/>
      <c r="Y32" s="35">
        <v>0</v>
      </c>
      <c r="Z32" s="36"/>
      <c r="AA32" s="35">
        <v>0</v>
      </c>
      <c r="AB32" s="36"/>
      <c r="AC32" s="35"/>
      <c r="AD32" s="36"/>
      <c r="AE32" s="35"/>
      <c r="AF32" s="36"/>
    </row>
    <row r="33" spans="1:32" ht="24.75" thickBot="1">
      <c r="A33" s="1"/>
      <c r="B33" s="16" t="s">
        <v>19</v>
      </c>
      <c r="C33" s="40">
        <f>+C30-C32</f>
        <v>-5663307.0899999989</v>
      </c>
      <c r="D33" s="36"/>
      <c r="E33" s="40">
        <f>+E30-E32</f>
        <v>-6359735.7199999997</v>
      </c>
      <c r="F33" s="36"/>
      <c r="G33" s="40">
        <f>+G30-G32</f>
        <v>-11764855.67</v>
      </c>
      <c r="H33" s="36"/>
      <c r="I33" s="40">
        <f>+I30-I32</f>
        <v>-4275662.7499999991</v>
      </c>
      <c r="J33" s="36"/>
      <c r="K33" s="40">
        <f>+K30-K32</f>
        <v>-3663782.6700000009</v>
      </c>
      <c r="L33" s="36"/>
      <c r="M33" s="40">
        <f>+M30-M32</f>
        <v>-3132387.5899999994</v>
      </c>
      <c r="N33" s="36"/>
      <c r="O33" s="40">
        <f>+O30-O32</f>
        <v>-11755588.909999996</v>
      </c>
      <c r="P33" s="36"/>
      <c r="Q33" s="40">
        <f>+Q30-Q32</f>
        <v>-2640000</v>
      </c>
      <c r="R33" s="36"/>
      <c r="S33" s="40">
        <f>+S30-S32</f>
        <v>-2634059.685691372</v>
      </c>
      <c r="T33" s="36"/>
      <c r="U33" s="40">
        <f>+U30-U32</f>
        <v>-2111432.0041737929</v>
      </c>
      <c r="V33" s="36"/>
      <c r="W33" s="40">
        <f>+W30-W32</f>
        <v>-4195346.1500000013</v>
      </c>
      <c r="X33" s="36"/>
      <c r="Y33" s="40">
        <f>+Y30-Y32</f>
        <v>-762000</v>
      </c>
      <c r="Z33" s="36"/>
      <c r="AA33" s="40">
        <f>+AA30-AA32</f>
        <v>-1263002.9100257487</v>
      </c>
      <c r="AB33" s="36"/>
      <c r="AC33" s="40">
        <f>+AC30-AC32</f>
        <v>-3081793.1374361897</v>
      </c>
      <c r="AD33" s="36"/>
      <c r="AE33" s="40">
        <f>+AE30-AE32</f>
        <v>-396822.22808375501</v>
      </c>
      <c r="AF33" s="36"/>
    </row>
    <row r="34" spans="1:32" ht="13.5" thickBot="1">
      <c r="A34" s="1"/>
      <c r="B34" s="1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3.5" thickBot="1">
      <c r="A35" s="1"/>
      <c r="B35" s="33" t="s">
        <v>20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2">
      <c r="B36" s="1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>
      <c r="A37" s="1"/>
      <c r="B37" s="15" t="s">
        <v>21</v>
      </c>
      <c r="C37" s="35"/>
      <c r="D37" s="36"/>
      <c r="E37" s="35"/>
      <c r="F37" s="36"/>
      <c r="G37" s="35">
        <v>0</v>
      </c>
      <c r="H37" s="36"/>
      <c r="I37" s="35">
        <v>0</v>
      </c>
      <c r="J37" s="36"/>
      <c r="K37" s="35">
        <v>0</v>
      </c>
      <c r="L37" s="36"/>
      <c r="M37" s="35">
        <v>0</v>
      </c>
      <c r="N37" s="36"/>
      <c r="O37" s="35">
        <v>0</v>
      </c>
      <c r="P37" s="36"/>
      <c r="Q37" s="35">
        <v>0</v>
      </c>
      <c r="R37" s="36"/>
      <c r="S37" s="35">
        <v>0</v>
      </c>
      <c r="T37" s="36"/>
      <c r="U37" s="35">
        <v>0</v>
      </c>
      <c r="V37" s="36"/>
      <c r="W37" s="35">
        <v>0</v>
      </c>
      <c r="X37" s="36"/>
      <c r="Y37" s="35">
        <v>0</v>
      </c>
      <c r="Z37" s="36"/>
      <c r="AA37" s="35">
        <v>0</v>
      </c>
      <c r="AB37" s="36"/>
      <c r="AC37" s="35">
        <v>0</v>
      </c>
      <c r="AD37" s="36"/>
      <c r="AE37" s="35">
        <v>0</v>
      </c>
      <c r="AF37" s="36"/>
    </row>
    <row r="38" spans="1:32">
      <c r="A38" s="1"/>
      <c r="B38" s="15"/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>
        <v>0</v>
      </c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</row>
    <row r="39" spans="1:32" ht="13.5" thickBot="1">
      <c r="A39" s="1"/>
      <c r="B39" s="16" t="s">
        <v>22</v>
      </c>
      <c r="C39" s="40">
        <f>C33+C37</f>
        <v>-5663307.0899999989</v>
      </c>
      <c r="D39" s="36"/>
      <c r="E39" s="40">
        <f>E33+E37</f>
        <v>-6359735.7199999997</v>
      </c>
      <c r="F39" s="36"/>
      <c r="G39" s="40">
        <f>G33+G37</f>
        <v>-11764855.67</v>
      </c>
      <c r="H39" s="36"/>
      <c r="I39" s="40">
        <f>I33+I37</f>
        <v>-4275662.7499999991</v>
      </c>
      <c r="J39" s="36"/>
      <c r="K39" s="40">
        <f>K33+K37</f>
        <v>-3663782.6700000009</v>
      </c>
      <c r="L39" s="36"/>
      <c r="M39" s="40">
        <f>M33+M37</f>
        <v>-3132387.5899999994</v>
      </c>
      <c r="N39" s="36"/>
      <c r="O39" s="40">
        <f>O33+O37</f>
        <v>-11755588.909999996</v>
      </c>
      <c r="P39" s="36"/>
      <c r="Q39" s="40">
        <f>Q33+Q37</f>
        <v>-2640000</v>
      </c>
      <c r="R39" s="36"/>
      <c r="S39" s="40">
        <f>S33+S37</f>
        <v>-2634059.685691372</v>
      </c>
      <c r="T39" s="36"/>
      <c r="U39" s="40">
        <f>U33+U37</f>
        <v>-2111432.0041737929</v>
      </c>
      <c r="V39" s="36"/>
      <c r="W39" s="40">
        <f>W33+W37</f>
        <v>-4195346.1500000013</v>
      </c>
      <c r="X39" s="36"/>
      <c r="Y39" s="40">
        <f>Y33+Y37</f>
        <v>-762000</v>
      </c>
      <c r="Z39" s="36"/>
      <c r="AA39" s="40">
        <f>AA33+AA37</f>
        <v>-1263002.9100257487</v>
      </c>
      <c r="AB39" s="36"/>
      <c r="AC39" s="40">
        <f>AC33+AC37</f>
        <v>-3081793.1374361897</v>
      </c>
      <c r="AD39" s="36"/>
      <c r="AE39" s="40">
        <f>AE33+AE37</f>
        <v>-396822.22808375501</v>
      </c>
      <c r="AF39" s="36"/>
    </row>
    <row r="40" spans="1:32" ht="13.5" thickBot="1">
      <c r="A40" s="1"/>
      <c r="B40" s="16"/>
      <c r="C40" s="39"/>
      <c r="D40" s="36"/>
      <c r="E40" s="39"/>
      <c r="F40" s="36"/>
      <c r="G40" s="39"/>
      <c r="H40" s="36"/>
      <c r="I40" s="39"/>
      <c r="J40" s="36"/>
      <c r="K40" s="39"/>
      <c r="L40" s="36"/>
      <c r="M40" s="39"/>
      <c r="N40" s="36"/>
      <c r="O40" s="39"/>
      <c r="P40" s="36"/>
      <c r="Q40" s="39"/>
      <c r="R40" s="36"/>
      <c r="S40" s="39"/>
      <c r="T40" s="36"/>
      <c r="U40" s="39"/>
      <c r="V40" s="36"/>
      <c r="W40" s="39"/>
      <c r="X40" s="36"/>
      <c r="Y40" s="39"/>
      <c r="Z40" s="36"/>
      <c r="AA40" s="39"/>
      <c r="AB40" s="36"/>
      <c r="AC40" s="39"/>
      <c r="AD40" s="36"/>
      <c r="AE40" s="39"/>
      <c r="AF40" s="36"/>
    </row>
    <row r="41" spans="1:32" ht="13.5" thickBot="1">
      <c r="A41" s="1"/>
      <c r="B41" s="33" t="s">
        <v>58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>
      <c r="A42" s="1"/>
      <c r="B42" s="18" t="s">
        <v>60</v>
      </c>
      <c r="C42" s="35"/>
      <c r="D42" s="36"/>
      <c r="E42" s="35"/>
      <c r="F42" s="36"/>
      <c r="G42" s="35">
        <v>0</v>
      </c>
      <c r="H42" s="36"/>
      <c r="I42" s="35">
        <v>0</v>
      </c>
      <c r="J42" s="36"/>
      <c r="K42" s="35">
        <v>0</v>
      </c>
      <c r="L42" s="36"/>
      <c r="M42" s="35">
        <v>0</v>
      </c>
      <c r="N42" s="36"/>
      <c r="O42" s="35">
        <v>0</v>
      </c>
      <c r="P42" s="36"/>
      <c r="Q42" s="35"/>
      <c r="R42" s="36"/>
      <c r="S42" s="35"/>
      <c r="T42" s="36"/>
      <c r="U42" s="35">
        <v>0</v>
      </c>
      <c r="V42" s="36"/>
      <c r="W42" s="35">
        <v>0</v>
      </c>
      <c r="X42" s="36"/>
      <c r="Y42" s="35">
        <v>0</v>
      </c>
      <c r="Z42" s="36"/>
      <c r="AA42" s="35">
        <v>0</v>
      </c>
      <c r="AB42" s="36"/>
      <c r="AC42" s="35">
        <v>0</v>
      </c>
      <c r="AD42" s="36"/>
      <c r="AE42" s="35">
        <v>0</v>
      </c>
      <c r="AF42" s="36"/>
    </row>
    <row r="43" spans="1:32">
      <c r="B43" s="14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</row>
    <row r="44" spans="1:32" ht="13.5" thickBot="1">
      <c r="A44" s="1"/>
      <c r="B44" s="30" t="s">
        <v>59</v>
      </c>
      <c r="C44" s="42">
        <f>C39+C42</f>
        <v>-5663307.0899999989</v>
      </c>
      <c r="D44" s="36"/>
      <c r="E44" s="42">
        <f>E39+E42</f>
        <v>-6359735.7199999997</v>
      </c>
      <c r="F44" s="36"/>
      <c r="G44" s="42">
        <f>G39+G42</f>
        <v>-11764855.67</v>
      </c>
      <c r="H44" s="36"/>
      <c r="I44" s="42">
        <f>I39+I42</f>
        <v>-4275662.7499999991</v>
      </c>
      <c r="J44" s="36"/>
      <c r="K44" s="42">
        <f>K39+K42</f>
        <v>-3663782.6700000009</v>
      </c>
      <c r="L44" s="36"/>
      <c r="M44" s="42">
        <f>M39+M42</f>
        <v>-3132387.5899999994</v>
      </c>
      <c r="N44" s="36"/>
      <c r="O44" s="42">
        <f>O39+O42</f>
        <v>-11755588.909999996</v>
      </c>
      <c r="P44" s="36"/>
      <c r="Q44" s="42">
        <f>Q39+Q42</f>
        <v>-2640000</v>
      </c>
      <c r="R44" s="36"/>
      <c r="S44" s="42">
        <f>S39+S42</f>
        <v>-2634059.685691372</v>
      </c>
      <c r="T44" s="36"/>
      <c r="U44" s="42">
        <f>U39+U42</f>
        <v>-2111432.0041737929</v>
      </c>
      <c r="V44" s="36"/>
      <c r="W44" s="42">
        <f>W39+W42</f>
        <v>-4195346.1500000013</v>
      </c>
      <c r="X44" s="36"/>
      <c r="Y44" s="42">
        <f>Y39+Y42</f>
        <v>-762000</v>
      </c>
      <c r="Z44" s="36"/>
      <c r="AA44" s="42">
        <f>AA39+AA42</f>
        <v>-1263002.9100257487</v>
      </c>
      <c r="AB44" s="36"/>
      <c r="AC44" s="42">
        <f>AC39+AC42</f>
        <v>-3081793.1374361897</v>
      </c>
      <c r="AD44" s="36"/>
      <c r="AE44" s="42">
        <f>AE39+AE42</f>
        <v>-396822.22808375501</v>
      </c>
      <c r="AF44" s="36"/>
    </row>
    <row r="47" spans="1:32">
      <c r="B47" s="15" t="s">
        <v>63</v>
      </c>
      <c r="C47" s="61">
        <f>-5.33409175244011-E47</f>
        <v>-2.5125586024844759</v>
      </c>
      <c r="D47" s="36"/>
      <c r="E47" s="61">
        <v>-2.8215331499556342</v>
      </c>
      <c r="F47" s="36"/>
      <c r="G47" s="61">
        <v>-5.2968044301291455</v>
      </c>
      <c r="H47" s="36"/>
      <c r="I47" s="61">
        <v>-2.0161880304935549</v>
      </c>
      <c r="J47" s="36"/>
      <c r="K47" s="61">
        <f>-3.10659601908206-M47</f>
        <v>-1.6295191926123969</v>
      </c>
      <c r="L47" s="36"/>
      <c r="M47" s="61">
        <v>-1.4770768264696632</v>
      </c>
      <c r="N47" s="36"/>
      <c r="O47" s="61">
        <v>-7.1073693530834321</v>
      </c>
      <c r="P47" s="36"/>
      <c r="Q47" s="61">
        <f>Q44/1654000</f>
        <v>-1.5961305925030229</v>
      </c>
      <c r="R47" s="36"/>
      <c r="S47" s="61">
        <f>S44/1654000</f>
        <v>-1.592539108640491</v>
      </c>
      <c r="T47" s="36"/>
      <c r="U47" s="61">
        <v>-1.2765610666105156</v>
      </c>
      <c r="V47" s="36"/>
      <c r="W47" s="61">
        <v>-2.7515951704470933</v>
      </c>
      <c r="X47" s="36"/>
      <c r="Y47" s="61">
        <f>Y44/1654000</f>
        <v>-0.46070133010882708</v>
      </c>
      <c r="Z47" s="36"/>
      <c r="AA47" s="61">
        <f>AA44/1654000</f>
        <v>-0.76360514511834865</v>
      </c>
      <c r="AB47" s="36"/>
      <c r="AC47" s="61">
        <v>-2.79</v>
      </c>
      <c r="AD47" s="36"/>
      <c r="AE47" s="61">
        <v>-0.41</v>
      </c>
      <c r="AF47" s="36"/>
    </row>
    <row r="48" spans="1:32">
      <c r="B48" s="3" t="s">
        <v>64</v>
      </c>
      <c r="C48" s="61">
        <f>-5.33409175244011-E48</f>
        <v>-2.5125586024844759</v>
      </c>
      <c r="E48" s="61">
        <v>-2.8215331499556342</v>
      </c>
      <c r="G48" s="61">
        <v>-5.2195455501330965</v>
      </c>
      <c r="I48" s="61">
        <v>-1.8969222493345159</v>
      </c>
      <c r="K48" s="61">
        <f>-3.01521972493345-M48</f>
        <v>-1.6255180434782592</v>
      </c>
      <c r="M48" s="61">
        <v>-1.3897016814551906</v>
      </c>
      <c r="O48" s="61">
        <v>-6.9895990361034732</v>
      </c>
      <c r="Q48" s="61">
        <f>Q47</f>
        <v>-1.5961305925030229</v>
      </c>
      <c r="S48" s="61">
        <f>S47</f>
        <v>-1.592539108640491</v>
      </c>
      <c r="U48" s="61">
        <v>-1.2765610666105156</v>
      </c>
      <c r="W48" s="61">
        <v>-2.7515951704470933</v>
      </c>
      <c r="Y48" s="61">
        <f>Y47</f>
        <v>-0.46070133010882708</v>
      </c>
      <c r="AA48" s="61">
        <f>AA47</f>
        <v>-0.76360514511834865</v>
      </c>
      <c r="AC48" s="61">
        <v>-2.79</v>
      </c>
      <c r="AE48" s="61">
        <v>-0.41</v>
      </c>
    </row>
    <row r="50" spans="3:15">
      <c r="C50" s="51"/>
      <c r="E50" s="51"/>
      <c r="G50" s="51"/>
      <c r="I50" s="51"/>
      <c r="K50" s="51"/>
      <c r="M50" s="51">
        <v>0</v>
      </c>
      <c r="O50" s="51">
        <v>0</v>
      </c>
    </row>
  </sheetData>
  <mergeCells count="2">
    <mergeCell ref="AG19:AG20"/>
    <mergeCell ref="G19:G2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87F7-9E4C-4A9C-AC41-EF79DC535F99}">
  <sheetPr>
    <tabColor rgb="FF0070C0"/>
    <pageSetUpPr fitToPage="1"/>
  </sheetPr>
  <dimension ref="A3:AE59"/>
  <sheetViews>
    <sheetView showGridLines="0"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7" sqref="C17"/>
    </sheetView>
  </sheetViews>
  <sheetFormatPr defaultColWidth="8.85546875" defaultRowHeight="12"/>
  <cols>
    <col min="1" max="1" width="1.85546875" style="5" customWidth="1"/>
    <col min="2" max="2" width="47.7109375" style="11" customWidth="1"/>
    <col min="3" max="3" width="12.7109375" style="5" customWidth="1"/>
    <col min="4" max="4" width="1" style="5" customWidth="1"/>
    <col min="5" max="5" width="12.7109375" style="5" customWidth="1"/>
    <col min="6" max="6" width="1" style="5" customWidth="1"/>
    <col min="7" max="7" width="12.7109375" style="5" customWidth="1"/>
    <col min="8" max="8" width="1" style="5" customWidth="1"/>
    <col min="9" max="9" width="12.7109375" style="5" customWidth="1"/>
    <col min="10" max="10" width="1" style="5" customWidth="1"/>
    <col min="11" max="11" width="12.7109375" style="5" customWidth="1"/>
    <col min="12" max="12" width="1" style="5" customWidth="1"/>
    <col min="13" max="13" width="12.7109375" style="5" customWidth="1"/>
    <col min="14" max="14" width="1" style="5" customWidth="1"/>
    <col min="15" max="15" width="12.7109375" style="5" customWidth="1"/>
    <col min="16" max="16" width="1" style="5" customWidth="1"/>
    <col min="17" max="17" width="12.7109375" style="5" customWidth="1"/>
    <col min="18" max="18" width="1" style="5" customWidth="1"/>
    <col min="19" max="19" width="12.7109375" style="5" customWidth="1"/>
    <col min="20" max="20" width="1" style="5" customWidth="1"/>
    <col min="21" max="21" width="12.7109375" style="5" customWidth="1"/>
    <col min="22" max="22" width="1" style="5" customWidth="1"/>
    <col min="23" max="23" width="12.7109375" style="5" customWidth="1"/>
    <col min="24" max="24" width="1" style="5" customWidth="1"/>
    <col min="25" max="25" width="12.7109375" style="5" customWidth="1"/>
    <col min="26" max="26" width="1" style="5" customWidth="1"/>
    <col min="27" max="27" width="12.7109375" style="5" customWidth="1"/>
    <col min="28" max="28" width="1" style="5" customWidth="1"/>
    <col min="29" max="29" width="12.7109375" style="5" customWidth="1"/>
    <col min="30" max="30" width="1" style="5" customWidth="1"/>
    <col min="31" max="16384" width="8.85546875" style="5"/>
  </cols>
  <sheetData>
    <row r="3" spans="1:31" ht="26.45" customHeight="1"/>
    <row r="4" spans="1:31" ht="18.75">
      <c r="A4" s="8"/>
      <c r="B4" s="63" t="s">
        <v>61</v>
      </c>
      <c r="C4" s="4"/>
      <c r="E4" s="4"/>
      <c r="G4" s="4"/>
      <c r="I4" s="4"/>
      <c r="K4" s="4"/>
      <c r="M4" s="4"/>
      <c r="O4" s="4"/>
      <c r="Q4" s="4"/>
      <c r="S4" s="4"/>
      <c r="U4" s="4"/>
      <c r="W4" s="4"/>
      <c r="Y4" s="4"/>
      <c r="AA4" s="4"/>
      <c r="AC4" s="4"/>
    </row>
    <row r="5" spans="1:31" ht="22.9" customHeight="1" thickBot="1">
      <c r="A5" s="8"/>
      <c r="B5" s="12" t="s">
        <v>0</v>
      </c>
      <c r="C5" s="7" t="s">
        <v>132</v>
      </c>
      <c r="E5" s="7" t="s">
        <v>130</v>
      </c>
      <c r="G5" s="7" t="s">
        <v>125</v>
      </c>
      <c r="I5" s="7" t="s">
        <v>124</v>
      </c>
      <c r="K5" s="7" t="s">
        <v>123</v>
      </c>
      <c r="M5" s="7" t="s">
        <v>106</v>
      </c>
      <c r="O5" s="7" t="s">
        <v>65</v>
      </c>
      <c r="Q5" s="7" t="s">
        <v>107</v>
      </c>
      <c r="S5" s="7" t="s">
        <v>108</v>
      </c>
      <c r="U5" s="7" t="s">
        <v>109</v>
      </c>
      <c r="W5" s="7" t="s">
        <v>66</v>
      </c>
      <c r="Y5" s="7" t="s">
        <v>115</v>
      </c>
      <c r="AA5" s="7" t="s">
        <v>116</v>
      </c>
      <c r="AC5" s="7" t="s">
        <v>118</v>
      </c>
    </row>
    <row r="6" spans="1:31" ht="13.15" customHeight="1" thickBot="1">
      <c r="A6" s="8"/>
      <c r="B6" s="33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3.15" customHeight="1">
      <c r="A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1" ht="13.15" customHeight="1">
      <c r="A8" s="8"/>
      <c r="B8" s="10" t="s">
        <v>25</v>
      </c>
      <c r="C8" s="43">
        <v>5077376</v>
      </c>
      <c r="D8" s="44"/>
      <c r="E8" s="43">
        <v>4994998.22</v>
      </c>
      <c r="F8" s="44"/>
      <c r="G8" s="43">
        <v>3446082.77</v>
      </c>
      <c r="H8" s="44"/>
      <c r="I8" s="43">
        <v>3900116.0899999989</v>
      </c>
      <c r="J8" s="44"/>
      <c r="K8" s="43">
        <v>4287298.129999999</v>
      </c>
      <c r="L8" s="44"/>
      <c r="M8" s="43">
        <v>4291672.3500000006</v>
      </c>
      <c r="N8" s="44"/>
      <c r="O8" s="43">
        <v>4876209.459999999</v>
      </c>
      <c r="P8" s="44"/>
      <c r="Q8" s="43">
        <v>7009000</v>
      </c>
      <c r="R8" s="44"/>
      <c r="S8" s="43">
        <v>7111495.8700069999</v>
      </c>
      <c r="T8" s="44"/>
      <c r="U8" s="43">
        <v>5151543.311720009</v>
      </c>
      <c r="V8" s="44"/>
      <c r="W8" s="43">
        <v>5351903.32</v>
      </c>
      <c r="X8" s="44"/>
      <c r="Y8" s="43">
        <v>2976695.401520527</v>
      </c>
      <c r="Z8" s="44"/>
      <c r="AA8" s="43">
        <v>1032764.5164538649</v>
      </c>
      <c r="AB8" s="44"/>
      <c r="AC8" s="43">
        <v>305426.94535302976</v>
      </c>
      <c r="AD8" s="44"/>
    </row>
    <row r="9" spans="1:31" ht="13.15" customHeight="1">
      <c r="A9" s="8"/>
      <c r="B9" s="10" t="s">
        <v>26</v>
      </c>
      <c r="C9" s="43">
        <v>570406.43999999994</v>
      </c>
      <c r="D9" s="44"/>
      <c r="E9" s="43">
        <v>663043.47</v>
      </c>
      <c r="F9" s="44"/>
      <c r="G9" s="43">
        <v>713980.5</v>
      </c>
      <c r="H9" s="44"/>
      <c r="I9" s="43">
        <v>901971.8899999999</v>
      </c>
      <c r="J9" s="44"/>
      <c r="K9" s="43">
        <v>941533.63</v>
      </c>
      <c r="L9" s="44"/>
      <c r="M9" s="43">
        <v>992207.20999999985</v>
      </c>
      <c r="N9" s="44"/>
      <c r="O9" s="43">
        <v>1027864.4400000079</v>
      </c>
      <c r="P9" s="44"/>
      <c r="Q9" s="43">
        <v>1175000</v>
      </c>
      <c r="R9" s="44"/>
      <c r="S9" s="43">
        <v>812265.13486253493</v>
      </c>
      <c r="T9" s="44"/>
      <c r="U9" s="43">
        <v>725388.07993438898</v>
      </c>
      <c r="V9" s="44"/>
      <c r="W9" s="43">
        <f>618836.6</f>
        <v>618836.6</v>
      </c>
      <c r="X9" s="44"/>
      <c r="Y9" s="43">
        <v>662536.1607217188</v>
      </c>
      <c r="Z9" s="44"/>
      <c r="AA9" s="43">
        <v>265170.62</v>
      </c>
      <c r="AB9" s="44"/>
      <c r="AC9" s="43">
        <v>407830.28000000009</v>
      </c>
      <c r="AD9" s="44"/>
    </row>
    <row r="10" spans="1:31" ht="24">
      <c r="A10" s="8"/>
      <c r="B10" s="10" t="s">
        <v>126</v>
      </c>
      <c r="C10" s="35">
        <v>15000</v>
      </c>
      <c r="D10" s="35"/>
      <c r="E10" s="35">
        <v>15000</v>
      </c>
      <c r="F10" s="35"/>
      <c r="G10" s="35">
        <v>15000</v>
      </c>
      <c r="H10" s="35"/>
      <c r="I10" s="35">
        <v>0</v>
      </c>
      <c r="J10" s="35"/>
      <c r="K10" s="35">
        <v>0</v>
      </c>
      <c r="L10" s="35"/>
      <c r="M10" s="35">
        <v>0</v>
      </c>
      <c r="N10" s="35"/>
      <c r="O10" s="35">
        <v>0</v>
      </c>
      <c r="P10" s="35"/>
      <c r="Q10" s="35">
        <v>0</v>
      </c>
      <c r="R10" s="35"/>
      <c r="S10" s="35">
        <v>0</v>
      </c>
      <c r="T10" s="35"/>
      <c r="U10" s="35">
        <v>0</v>
      </c>
      <c r="V10" s="35"/>
      <c r="W10" s="35">
        <v>0</v>
      </c>
      <c r="X10" s="35"/>
      <c r="Y10" s="43">
        <v>0</v>
      </c>
      <c r="Z10" s="44"/>
      <c r="AA10" s="43">
        <v>0</v>
      </c>
      <c r="AB10" s="44"/>
      <c r="AC10" s="43">
        <v>0</v>
      </c>
      <c r="AD10" s="35"/>
    </row>
    <row r="11" spans="1:31" ht="13.15" customHeight="1">
      <c r="A11" s="8"/>
      <c r="B11" s="10" t="s">
        <v>27</v>
      </c>
      <c r="C11" s="45"/>
      <c r="D11" s="35"/>
      <c r="E11" s="45"/>
      <c r="F11" s="35"/>
      <c r="G11" s="45">
        <v>0</v>
      </c>
      <c r="H11" s="35"/>
      <c r="I11" s="45">
        <v>0</v>
      </c>
      <c r="J11" s="35"/>
      <c r="K11" s="45">
        <v>0</v>
      </c>
      <c r="L11" s="35"/>
      <c r="M11" s="45">
        <v>0</v>
      </c>
      <c r="N11" s="35"/>
      <c r="O11" s="45">
        <v>0</v>
      </c>
      <c r="P11" s="35"/>
      <c r="Q11" s="45">
        <v>0</v>
      </c>
      <c r="R11" s="35"/>
      <c r="S11" s="45">
        <v>0</v>
      </c>
      <c r="T11" s="35"/>
      <c r="U11" s="45">
        <v>0</v>
      </c>
      <c r="V11" s="35"/>
      <c r="W11" s="45">
        <v>0</v>
      </c>
      <c r="X11" s="35"/>
      <c r="Y11" s="43">
        <v>0</v>
      </c>
      <c r="Z11" s="44"/>
      <c r="AA11" s="43">
        <v>0</v>
      </c>
      <c r="AB11" s="44"/>
      <c r="AC11" s="43">
        <v>0</v>
      </c>
      <c r="AD11" s="35"/>
    </row>
    <row r="12" spans="1:31" ht="13.15" customHeight="1">
      <c r="A12" s="8"/>
      <c r="B12" s="13" t="s">
        <v>24</v>
      </c>
      <c r="C12" s="46">
        <f>SUM(C8:C11)</f>
        <v>5662782.4399999995</v>
      </c>
      <c r="D12" s="47"/>
      <c r="E12" s="46">
        <f>SUM(E8:E11)</f>
        <v>5673041.6899999995</v>
      </c>
      <c r="F12" s="47"/>
      <c r="G12" s="46">
        <f>SUM(G8:G11)</f>
        <v>4175063.27</v>
      </c>
      <c r="H12" s="47"/>
      <c r="I12" s="46">
        <f>SUM(I8:I11)</f>
        <v>4802087.9799999986</v>
      </c>
      <c r="J12" s="47"/>
      <c r="K12" s="46">
        <f>SUM(K8:K11)</f>
        <v>5228831.7599999988</v>
      </c>
      <c r="L12" s="47"/>
      <c r="M12" s="46">
        <f>SUM(M8:M11)</f>
        <v>5283879.5600000005</v>
      </c>
      <c r="N12" s="47"/>
      <c r="O12" s="46">
        <f>SUM(O8:O11)</f>
        <v>5904073.9000000069</v>
      </c>
      <c r="P12" s="47"/>
      <c r="Q12" s="46">
        <f>SUM(Q8:Q11)</f>
        <v>8184000</v>
      </c>
      <c r="R12" s="47"/>
      <c r="S12" s="46">
        <f>SUM(S8:S11)</f>
        <v>7923761.0048695346</v>
      </c>
      <c r="T12" s="47"/>
      <c r="U12" s="46">
        <f>SUM(U8:U11)</f>
        <v>5876931.3916543983</v>
      </c>
      <c r="V12" s="47"/>
      <c r="W12" s="46">
        <f>SUM(W8:W11)</f>
        <v>5970739.9199999999</v>
      </c>
      <c r="X12" s="47"/>
      <c r="Y12" s="46">
        <f>SUM(Y8:Y11)</f>
        <v>3639231.5622422458</v>
      </c>
      <c r="Z12" s="47"/>
      <c r="AA12" s="46">
        <f>SUM(AA8:AA11)</f>
        <v>1297935.1364538649</v>
      </c>
      <c r="AB12" s="47"/>
      <c r="AC12" s="46">
        <f>SUM(AC8:AC11)</f>
        <v>713257.22535302979</v>
      </c>
      <c r="AD12" s="47"/>
    </row>
    <row r="13" spans="1:31" ht="13.15" customHeight="1">
      <c r="A13" s="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1" ht="13.15" customHeight="1">
      <c r="A14" s="8"/>
      <c r="B14" s="10" t="s">
        <v>29</v>
      </c>
      <c r="C14" s="35">
        <v>0</v>
      </c>
      <c r="D14" s="35"/>
      <c r="E14" s="35">
        <v>0</v>
      </c>
      <c r="F14" s="35"/>
      <c r="G14" s="35">
        <v>0</v>
      </c>
      <c r="H14" s="35"/>
      <c r="I14" s="35">
        <v>0</v>
      </c>
      <c r="J14" s="35"/>
      <c r="K14" s="35">
        <v>0</v>
      </c>
      <c r="L14" s="35"/>
      <c r="M14" s="35">
        <v>0</v>
      </c>
      <c r="N14" s="35"/>
      <c r="O14" s="35">
        <v>0</v>
      </c>
      <c r="P14" s="35"/>
      <c r="Q14" s="35">
        <v>0</v>
      </c>
      <c r="R14" s="35"/>
      <c r="S14" s="35">
        <v>91109.45</v>
      </c>
      <c r="T14" s="35"/>
      <c r="U14" s="35">
        <v>94476.92</v>
      </c>
      <c r="V14" s="35"/>
      <c r="W14" s="35">
        <v>91109.45</v>
      </c>
      <c r="X14" s="35"/>
      <c r="Y14" s="35">
        <v>0</v>
      </c>
      <c r="Z14" s="35"/>
      <c r="AA14" s="35">
        <v>29910.760000000002</v>
      </c>
      <c r="AB14" s="35"/>
      <c r="AC14" s="35">
        <v>29001.99</v>
      </c>
      <c r="AD14" s="35"/>
    </row>
    <row r="15" spans="1:31" ht="13.15" customHeight="1">
      <c r="A15" s="8"/>
      <c r="B15" s="10" t="s">
        <v>30</v>
      </c>
      <c r="C15" s="35">
        <v>10248471.879999999</v>
      </c>
      <c r="D15" s="35"/>
      <c r="E15" s="35">
        <v>10235605.18</v>
      </c>
      <c r="F15" s="35"/>
      <c r="G15" s="35">
        <v>9290403.5099999998</v>
      </c>
      <c r="H15" s="35"/>
      <c r="I15" s="35">
        <v>10685973.390000001</v>
      </c>
      <c r="J15" s="35"/>
      <c r="K15" s="35">
        <v>8638949</v>
      </c>
      <c r="L15" s="35"/>
      <c r="M15" s="35">
        <v>8663678.3000000007</v>
      </c>
      <c r="N15" s="35"/>
      <c r="O15" s="35">
        <v>1352374.3599999999</v>
      </c>
      <c r="P15" s="35"/>
      <c r="Q15" s="35">
        <v>1526000</v>
      </c>
      <c r="R15" s="35"/>
      <c r="S15" s="35">
        <v>2281854.2255000002</v>
      </c>
      <c r="T15" s="35"/>
      <c r="U15" s="35">
        <v>1790863.4424999999</v>
      </c>
      <c r="V15" s="35"/>
      <c r="W15" s="35">
        <v>1013773.55</v>
      </c>
      <c r="X15" s="35"/>
      <c r="Y15" s="35">
        <v>2447116.6025</v>
      </c>
      <c r="Z15" s="35"/>
      <c r="AA15" s="35">
        <v>648007.8600000001</v>
      </c>
      <c r="AB15" s="35"/>
      <c r="AC15" s="35">
        <v>195803.78200000004</v>
      </c>
      <c r="AD15" s="35"/>
    </row>
    <row r="16" spans="1:31" ht="13.15" customHeight="1">
      <c r="A16" s="8"/>
      <c r="B16" s="10" t="s">
        <v>31</v>
      </c>
      <c r="C16" s="35">
        <v>461838.77</v>
      </c>
      <c r="D16" s="35"/>
      <c r="E16" s="35">
        <v>678058.82</v>
      </c>
      <c r="F16" s="35"/>
      <c r="G16" s="35">
        <v>795768.08</v>
      </c>
      <c r="H16" s="35"/>
      <c r="I16" s="35">
        <v>1082994.58</v>
      </c>
      <c r="J16" s="35"/>
      <c r="K16" s="35">
        <v>855538.73</v>
      </c>
      <c r="L16" s="35"/>
      <c r="M16" s="35">
        <v>215678.15</v>
      </c>
      <c r="N16" s="35"/>
      <c r="O16" s="35">
        <v>2729368.18</v>
      </c>
      <c r="P16" s="35"/>
      <c r="Q16" s="35">
        <v>101000</v>
      </c>
      <c r="R16" s="35"/>
      <c r="S16" s="35">
        <v>43747.54</v>
      </c>
      <c r="T16" s="35"/>
      <c r="U16" s="35">
        <v>40116.060000000027</v>
      </c>
      <c r="V16" s="35"/>
      <c r="W16" s="35">
        <v>87985.49</v>
      </c>
      <c r="X16" s="35"/>
      <c r="Y16" s="35">
        <v>44074.080000000002</v>
      </c>
      <c r="Z16" s="35"/>
      <c r="AA16" s="35">
        <v>3637.8500000000004</v>
      </c>
      <c r="AB16" s="35"/>
      <c r="AC16" s="35">
        <v>49318.82</v>
      </c>
      <c r="AD16" s="35"/>
    </row>
    <row r="17" spans="1:30" ht="13.15" customHeight="1">
      <c r="A17" s="8"/>
      <c r="B17" s="10" t="s">
        <v>32</v>
      </c>
      <c r="C17" s="35">
        <v>26921952.870000001</v>
      </c>
      <c r="D17" s="35"/>
      <c r="E17" s="35">
        <v>32728273.789999999</v>
      </c>
      <c r="F17" s="35"/>
      <c r="G17" s="35">
        <v>6177808.7199999988</v>
      </c>
      <c r="H17" s="35"/>
      <c r="I17" s="35">
        <v>39193344.509999998</v>
      </c>
      <c r="J17" s="35"/>
      <c r="K17" s="35">
        <v>46565681.130000003</v>
      </c>
      <c r="L17" s="35"/>
      <c r="M17" s="35">
        <v>51598766.68</v>
      </c>
      <c r="N17" s="35"/>
      <c r="O17" s="35">
        <v>8955897.5600000005</v>
      </c>
      <c r="P17" s="35"/>
      <c r="Q17" s="35">
        <v>8985000</v>
      </c>
      <c r="R17" s="35"/>
      <c r="S17" s="35">
        <v>11751827.540000001</v>
      </c>
      <c r="T17" s="35"/>
      <c r="U17" s="35">
        <v>9256219.9700000007</v>
      </c>
      <c r="V17" s="35"/>
      <c r="W17" s="35">
        <v>13921167.93</v>
      </c>
      <c r="X17" s="35"/>
      <c r="Y17" s="35">
        <v>199554.11999999994</v>
      </c>
      <c r="Z17" s="35"/>
      <c r="AA17" s="35">
        <v>267050.36</v>
      </c>
      <c r="AB17" s="35"/>
      <c r="AC17" s="35">
        <v>219519.47</v>
      </c>
      <c r="AD17" s="35"/>
    </row>
    <row r="18" spans="1:30" ht="24">
      <c r="A18" s="8"/>
      <c r="B18" s="10" t="s">
        <v>127</v>
      </c>
      <c r="C18" s="45">
        <v>0</v>
      </c>
      <c r="D18" s="35"/>
      <c r="E18" s="45">
        <v>0</v>
      </c>
      <c r="F18" s="35"/>
      <c r="G18" s="45">
        <v>26750889.800000001</v>
      </c>
      <c r="H18" s="35"/>
      <c r="I18" s="5">
        <v>0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45">
        <v>0</v>
      </c>
      <c r="R18" s="35"/>
      <c r="S18" s="45">
        <v>0</v>
      </c>
      <c r="T18" s="35"/>
      <c r="U18" s="35">
        <v>0</v>
      </c>
      <c r="V18" s="35"/>
      <c r="W18" s="35">
        <v>0</v>
      </c>
      <c r="X18" s="35"/>
      <c r="Y18" s="35">
        <v>0</v>
      </c>
      <c r="AA18" s="35">
        <v>0</v>
      </c>
      <c r="AC18" s="35">
        <v>0</v>
      </c>
      <c r="AD18" s="35"/>
    </row>
    <row r="19" spans="1:30" ht="13.15" customHeight="1">
      <c r="A19" s="8"/>
      <c r="B19" s="13" t="s">
        <v>28</v>
      </c>
      <c r="C19" s="46">
        <f>SUM(C14:C18)</f>
        <v>37632263.519999996</v>
      </c>
      <c r="D19" s="47"/>
      <c r="E19" s="46">
        <f>SUM(E14:E18)</f>
        <v>43641937.789999999</v>
      </c>
      <c r="F19" s="47"/>
      <c r="G19" s="46">
        <f>SUM(G14:G18)</f>
        <v>43014870.109999999</v>
      </c>
      <c r="H19" s="47"/>
      <c r="I19" s="46">
        <f>SUM(I14:I18)</f>
        <v>50962312.479999997</v>
      </c>
      <c r="J19" s="47"/>
      <c r="K19" s="46">
        <f>SUM(K14:K18)</f>
        <v>56060168.859999999</v>
      </c>
      <c r="L19" s="47"/>
      <c r="M19" s="46">
        <f>SUM(M14:M18)</f>
        <v>60478123.130000003</v>
      </c>
      <c r="N19" s="47"/>
      <c r="O19" s="46">
        <f>SUM(O14:O18)</f>
        <v>13037640.100000001</v>
      </c>
      <c r="P19" s="47"/>
      <c r="Q19" s="46">
        <f>SUM(Q14:Q17)</f>
        <v>10612000</v>
      </c>
      <c r="R19" s="47"/>
      <c r="S19" s="46">
        <f>SUM(S14:S17)</f>
        <v>14168538.755500002</v>
      </c>
      <c r="T19" s="47"/>
      <c r="U19" s="46">
        <f>SUM(U14:U18)</f>
        <v>11181676.3925</v>
      </c>
      <c r="V19" s="47"/>
      <c r="W19" s="46">
        <f>SUM(W14:W18)</f>
        <v>15114036.42</v>
      </c>
      <c r="X19" s="47"/>
      <c r="Y19" s="46">
        <f>SUM(Y14:Y17)</f>
        <v>2690744.8025000002</v>
      </c>
      <c r="Z19" s="47"/>
      <c r="AA19" s="46">
        <f>SUM(AA14:AA17)</f>
        <v>948606.83000000007</v>
      </c>
      <c r="AB19" s="47"/>
      <c r="AC19" s="46">
        <f>SUM(AC14:AC17)</f>
        <v>493644.06200000003</v>
      </c>
      <c r="AD19" s="47"/>
    </row>
    <row r="20" spans="1:30" ht="13.15" customHeight="1">
      <c r="A20" s="8"/>
      <c r="B20" s="31"/>
      <c r="C20" s="49"/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48"/>
      <c r="AC20" s="49"/>
      <c r="AD20" s="48"/>
    </row>
    <row r="21" spans="1:30" ht="13.15" customHeight="1" thickBot="1">
      <c r="A21" s="8"/>
      <c r="B21" s="32" t="s">
        <v>33</v>
      </c>
      <c r="C21" s="40">
        <f>C12+C19</f>
        <v>43295045.959999993</v>
      </c>
      <c r="D21" s="36"/>
      <c r="E21" s="40">
        <f>E12+E19</f>
        <v>49314979.479999997</v>
      </c>
      <c r="F21" s="36"/>
      <c r="G21" s="40">
        <f>G12+G19</f>
        <v>47189933.380000003</v>
      </c>
      <c r="H21" s="36"/>
      <c r="I21" s="40">
        <f>I12+I19</f>
        <v>55764400.459999993</v>
      </c>
      <c r="J21" s="36"/>
      <c r="K21" s="40">
        <f>K12+K19</f>
        <v>61289000.619999997</v>
      </c>
      <c r="L21" s="36"/>
      <c r="M21" s="40">
        <f>M12+M19</f>
        <v>65762002.690000005</v>
      </c>
      <c r="N21" s="36"/>
      <c r="O21" s="40">
        <f>O12+O19</f>
        <v>18941714.000000007</v>
      </c>
      <c r="P21" s="36"/>
      <c r="Q21" s="40">
        <f>Q12+Q19</f>
        <v>18796000</v>
      </c>
      <c r="R21" s="36"/>
      <c r="S21" s="40">
        <f>S12+S19</f>
        <v>22092299.760369536</v>
      </c>
      <c r="T21" s="36"/>
      <c r="U21" s="40">
        <f>U12+U19</f>
        <v>17058607.7841544</v>
      </c>
      <c r="V21" s="36"/>
      <c r="W21" s="40">
        <f>W12+W19</f>
        <v>21084776.34</v>
      </c>
      <c r="X21" s="36"/>
      <c r="Y21" s="40">
        <f>Y12+Y19</f>
        <v>6329976.3647422455</v>
      </c>
      <c r="Z21" s="36"/>
      <c r="AA21" s="40">
        <f>AA12+AA19</f>
        <v>2246541.9664538652</v>
      </c>
      <c r="AB21" s="36"/>
      <c r="AC21" s="40">
        <f>AC12+AC19</f>
        <v>1206901.2873530299</v>
      </c>
      <c r="AD21" s="36"/>
    </row>
    <row r="22" spans="1:30" ht="13.15" customHeight="1">
      <c r="A22" s="8"/>
      <c r="B22" s="2"/>
      <c r="C22" s="21"/>
      <c r="D22" s="11"/>
      <c r="E22" s="21"/>
      <c r="F22" s="11"/>
      <c r="G22" s="21"/>
      <c r="H22" s="11"/>
      <c r="I22" s="21"/>
      <c r="J22" s="11"/>
      <c r="K22" s="21"/>
      <c r="L22" s="11"/>
      <c r="M22" s="21"/>
      <c r="N22" s="11"/>
      <c r="O22" s="21"/>
      <c r="P22" s="11"/>
      <c r="Q22" s="21"/>
      <c r="R22" s="11"/>
      <c r="S22" s="21"/>
      <c r="T22" s="11"/>
      <c r="U22" s="21"/>
      <c r="V22" s="11"/>
      <c r="W22" s="21"/>
      <c r="X22" s="11"/>
      <c r="Y22" s="21"/>
      <c r="Z22" s="11"/>
      <c r="AA22" s="21"/>
      <c r="AB22" s="11"/>
      <c r="AC22" s="21"/>
      <c r="AD22" s="11"/>
    </row>
    <row r="23" spans="1:30" ht="22.9" customHeight="1" thickBot="1">
      <c r="A23" s="8"/>
      <c r="B23" s="12" t="s">
        <v>0</v>
      </c>
      <c r="C23" s="7"/>
      <c r="E23" s="7" t="str">
        <f>E5</f>
        <v>Stan na 31.03.2022</v>
      </c>
      <c r="G23" s="7" t="str">
        <f>G5</f>
        <v>Stan na 31.12.2021</v>
      </c>
      <c r="I23" s="7" t="str">
        <f>I5</f>
        <v>Stan na 30.09.2021</v>
      </c>
      <c r="K23" s="7" t="str">
        <f>K5</f>
        <v>Stan na 30.06.2021</v>
      </c>
      <c r="M23" s="7" t="str">
        <f>M5</f>
        <v>Stan na 31.03.2021</v>
      </c>
      <c r="O23" s="7" t="str">
        <f>O5</f>
        <v>Stan na 31.12.2020</v>
      </c>
      <c r="Q23" s="7" t="str">
        <f>Q5</f>
        <v>Stan na 30.09.2020</v>
      </c>
      <c r="S23" s="7" t="str">
        <f>S5</f>
        <v>Stan na 30.06.2020</v>
      </c>
      <c r="U23" s="7" t="str">
        <f>U5</f>
        <v>Stan na 31.03.2020</v>
      </c>
      <c r="W23" s="7" t="str">
        <f>W5</f>
        <v>Stan na 31.12.2019</v>
      </c>
      <c r="Y23" s="7" t="str">
        <f>Y5</f>
        <v>Stan na 31.12.2018</v>
      </c>
      <c r="AA23" s="7" t="str">
        <f>AA5</f>
        <v>Stan na 31.12.2017</v>
      </c>
      <c r="AC23" s="7" t="str">
        <f>AC5</f>
        <v>Stan na 31.12.2016</v>
      </c>
    </row>
    <row r="24" spans="1:30" ht="13.15" customHeight="1" thickBot="1">
      <c r="A24" s="8"/>
      <c r="B24" s="33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3.15" customHeight="1">
      <c r="A25" s="8"/>
      <c r="B25" s="10"/>
      <c r="C25" s="19"/>
      <c r="D25" s="20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  <c r="AA25" s="19"/>
      <c r="AB25" s="20"/>
      <c r="AC25" s="19"/>
      <c r="AD25" s="20"/>
    </row>
    <row r="26" spans="1:30" ht="13.15" customHeight="1">
      <c r="A26" s="8"/>
      <c r="B26" s="10" t="s">
        <v>36</v>
      </c>
      <c r="C26" s="35">
        <v>225400</v>
      </c>
      <c r="D26" s="35"/>
      <c r="E26" s="35">
        <v>225400</v>
      </c>
      <c r="F26" s="35"/>
      <c r="G26" s="35">
        <v>225400</v>
      </c>
      <c r="H26" s="35"/>
      <c r="I26" s="35">
        <v>225400</v>
      </c>
      <c r="J26" s="35"/>
      <c r="K26" s="35">
        <v>225400</v>
      </c>
      <c r="L26" s="35"/>
      <c r="M26" s="35">
        <v>225400</v>
      </c>
      <c r="N26" s="35"/>
      <c r="O26" s="35">
        <v>165400</v>
      </c>
      <c r="P26" s="35"/>
      <c r="Q26" s="35">
        <v>165400</v>
      </c>
      <c r="R26" s="35"/>
      <c r="S26" s="35">
        <v>165400</v>
      </c>
      <c r="T26" s="35"/>
      <c r="U26" s="35">
        <v>165400</v>
      </c>
      <c r="V26" s="35"/>
      <c r="W26" s="35">
        <v>165400</v>
      </c>
      <c r="X26" s="35"/>
      <c r="Y26" s="35">
        <v>117241</v>
      </c>
      <c r="Z26" s="35"/>
      <c r="AA26" s="35">
        <v>102600</v>
      </c>
      <c r="AB26" s="35"/>
      <c r="AC26" s="35">
        <v>90000</v>
      </c>
      <c r="AD26" s="35"/>
    </row>
    <row r="27" spans="1:30" ht="13.15" customHeight="1">
      <c r="A27" s="8"/>
      <c r="B27" s="10" t="s">
        <v>37</v>
      </c>
      <c r="C27" s="35">
        <v>73081663.560000002</v>
      </c>
      <c r="D27" s="35"/>
      <c r="E27" s="35">
        <v>71981362.079999998</v>
      </c>
      <c r="F27" s="35"/>
      <c r="G27" s="35">
        <v>70893151.829999998</v>
      </c>
      <c r="H27" s="35"/>
      <c r="I27" s="35">
        <v>69786479.530000001</v>
      </c>
      <c r="J27" s="35"/>
      <c r="K27" s="35">
        <v>69220264.530000001</v>
      </c>
      <c r="L27" s="35"/>
      <c r="M27" s="35">
        <v>69181423.909999996</v>
      </c>
      <c r="N27" s="35"/>
      <c r="O27" s="35">
        <v>16814983.060000002</v>
      </c>
      <c r="P27" s="35"/>
      <c r="Q27" s="35">
        <v>15862000</v>
      </c>
      <c r="R27" s="35"/>
      <c r="S27" s="35">
        <v>14929531.800000001</v>
      </c>
      <c r="T27" s="35"/>
      <c r="U27" s="35">
        <v>13997052.879173793</v>
      </c>
      <c r="V27" s="35"/>
      <c r="W27" s="35">
        <v>13064574.57</v>
      </c>
      <c r="X27" s="35"/>
      <c r="Y27" s="35">
        <v>3548413.55</v>
      </c>
      <c r="Z27" s="35"/>
      <c r="AA27" s="35">
        <v>952822.28</v>
      </c>
      <c r="AB27" s="35"/>
      <c r="AC27" s="35">
        <v>654989.28</v>
      </c>
      <c r="AD27" s="35"/>
    </row>
    <row r="28" spans="1:30" ht="13.15" customHeight="1">
      <c r="A28" s="8"/>
      <c r="B28" s="10" t="s">
        <v>38</v>
      </c>
      <c r="C28" s="35">
        <v>0</v>
      </c>
      <c r="D28" s="35"/>
      <c r="E28" s="35">
        <v>0</v>
      </c>
      <c r="F28" s="35"/>
      <c r="G28" s="35">
        <v>0</v>
      </c>
      <c r="H28" s="35"/>
      <c r="I28" s="5">
        <v>0</v>
      </c>
      <c r="J28" s="35"/>
      <c r="K28" s="35">
        <v>0</v>
      </c>
      <c r="L28" s="35"/>
      <c r="M28" s="35">
        <v>0</v>
      </c>
      <c r="N28" s="35"/>
      <c r="O28" s="35">
        <v>0</v>
      </c>
      <c r="P28" s="35"/>
      <c r="Q28" s="35">
        <v>0</v>
      </c>
      <c r="R28" s="35"/>
      <c r="T28" s="35"/>
      <c r="U28" s="35">
        <v>0</v>
      </c>
      <c r="V28" s="35"/>
      <c r="W28" s="35">
        <v>0</v>
      </c>
      <c r="X28" s="35"/>
      <c r="Y28" s="35">
        <v>0</v>
      </c>
      <c r="AA28" s="35">
        <v>0</v>
      </c>
      <c r="AC28" s="35">
        <v>0</v>
      </c>
      <c r="AD28" s="35"/>
    </row>
    <row r="29" spans="1:30" ht="13.15" customHeight="1">
      <c r="A29" s="8"/>
      <c r="B29" s="10" t="s">
        <v>39</v>
      </c>
      <c r="C29" s="35">
        <v>-31632163.489999998</v>
      </c>
      <c r="D29" s="35"/>
      <c r="E29" s="35">
        <v>-31632163.489999998</v>
      </c>
      <c r="F29" s="35"/>
      <c r="G29" s="35">
        <v>-19867307.82</v>
      </c>
      <c r="H29" s="35"/>
      <c r="I29" s="35">
        <v>-19867307.82</v>
      </c>
      <c r="J29" s="35"/>
      <c r="K29" s="35">
        <v>-19867307.82</v>
      </c>
      <c r="L29" s="35"/>
      <c r="M29" s="35">
        <v>-19867307.82</v>
      </c>
      <c r="N29" s="35"/>
      <c r="O29" s="35">
        <v>-8111718.9100000001</v>
      </c>
      <c r="P29" s="35"/>
      <c r="Q29" s="35">
        <v>-8112000</v>
      </c>
      <c r="R29" s="35"/>
      <c r="S29" s="35">
        <v>-8111718.9054937307</v>
      </c>
      <c r="T29" s="35"/>
      <c r="U29" s="35">
        <v>-8111718.9054937251</v>
      </c>
      <c r="V29" s="35"/>
      <c r="W29" s="35">
        <v>-8111718.9100000001</v>
      </c>
      <c r="X29" s="35"/>
      <c r="Y29" s="35">
        <v>-834579.61608375609</v>
      </c>
      <c r="Z29" s="35"/>
      <c r="AA29" s="35">
        <v>-437757.38800000027</v>
      </c>
      <c r="AB29" s="35"/>
      <c r="AC29" s="35">
        <v>-437757.38799999998</v>
      </c>
      <c r="AD29" s="35"/>
    </row>
    <row r="30" spans="1:30" ht="13.15" customHeight="1">
      <c r="A30" s="8"/>
      <c r="B30" s="10" t="s">
        <v>40</v>
      </c>
      <c r="C30" s="35">
        <v>-12023042.810000001</v>
      </c>
      <c r="D30" s="35"/>
      <c r="E30" s="35">
        <v>-6359735.7199999997</v>
      </c>
      <c r="F30" s="35"/>
      <c r="G30" s="35">
        <v>-11764855.67</v>
      </c>
      <c r="H30" s="35"/>
      <c r="I30" s="35">
        <v>-11071968.01</v>
      </c>
      <c r="J30" s="35"/>
      <c r="K30" s="35">
        <v>-6796305.2600000016</v>
      </c>
      <c r="L30" s="35"/>
      <c r="M30" s="35">
        <v>-3132387.5899999994</v>
      </c>
      <c r="N30" s="35"/>
      <c r="O30" s="35">
        <v>-11755588.909999996</v>
      </c>
      <c r="P30" s="35"/>
      <c r="Q30" s="35">
        <v>-7386000</v>
      </c>
      <c r="R30" s="35"/>
      <c r="S30" s="35">
        <v>-4745491.68986517</v>
      </c>
      <c r="T30" s="35"/>
      <c r="U30" s="35">
        <v>-2111432.0041737934</v>
      </c>
      <c r="V30" s="35"/>
      <c r="W30" s="35">
        <v>0</v>
      </c>
      <c r="X30" s="35"/>
      <c r="Y30" s="35">
        <v>-3081793.1374361888</v>
      </c>
      <c r="Z30" s="35"/>
      <c r="AA30" s="35">
        <v>-396822.22808375477</v>
      </c>
      <c r="AB30" s="35"/>
      <c r="AC30" s="35">
        <v>0</v>
      </c>
      <c r="AD30" s="35"/>
    </row>
    <row r="31" spans="1:30" ht="13.15" customHeight="1">
      <c r="A31" s="8"/>
      <c r="B31" s="13" t="s">
        <v>35</v>
      </c>
      <c r="C31" s="46">
        <f>SUM(C26:C30)</f>
        <v>29651857.260000005</v>
      </c>
      <c r="D31" s="47"/>
      <c r="E31" s="46">
        <f>SUM(E26:E30)</f>
        <v>34214862.870000005</v>
      </c>
      <c r="F31" s="47"/>
      <c r="G31" s="46">
        <f>SUM(G26:G30)</f>
        <v>39486388.339999996</v>
      </c>
      <c r="H31" s="47"/>
      <c r="I31" s="46">
        <f>SUM(I26:I30)</f>
        <v>39072603.700000003</v>
      </c>
      <c r="J31" s="47"/>
      <c r="K31" s="46">
        <f>SUM(K26:K30)</f>
        <v>42782051.450000003</v>
      </c>
      <c r="L31" s="47"/>
      <c r="M31" s="46">
        <f>SUM(M26:M30)</f>
        <v>46407128.5</v>
      </c>
      <c r="N31" s="47"/>
      <c r="O31" s="46">
        <f>SUM(O26:O30)</f>
        <v>-2886924.7599999942</v>
      </c>
      <c r="P31" s="47"/>
      <c r="Q31" s="46">
        <f>SUM(Q26:Q30)</f>
        <v>529400</v>
      </c>
      <c r="R31" s="47"/>
      <c r="S31" s="46">
        <f>SUM(S26:S30)</f>
        <v>2237721.2046411</v>
      </c>
      <c r="T31" s="47"/>
      <c r="U31" s="46">
        <f>SUM(U26:U30)</f>
        <v>3939301.9695062744</v>
      </c>
      <c r="V31" s="47"/>
      <c r="W31" s="46">
        <f>SUM(W26:W30)</f>
        <v>5118255.66</v>
      </c>
      <c r="X31" s="47"/>
      <c r="Y31" s="46">
        <f>SUM(Y26:Y30)</f>
        <v>-250718.20351994503</v>
      </c>
      <c r="Z31" s="47"/>
      <c r="AA31" s="46">
        <f>SUM(AA26:AA30)</f>
        <v>220842.66391624499</v>
      </c>
      <c r="AB31" s="47"/>
      <c r="AC31" s="46">
        <f>SUM(AC26:AC30)</f>
        <v>307231.89200000005</v>
      </c>
      <c r="AD31" s="47"/>
    </row>
    <row r="32" spans="1:30" ht="13.15" customHeight="1">
      <c r="A32" s="8"/>
      <c r="B32" s="10"/>
      <c r="C32" s="50"/>
      <c r="D32" s="48"/>
      <c r="E32" s="50"/>
      <c r="F32" s="48"/>
      <c r="G32" s="50"/>
      <c r="H32" s="48"/>
      <c r="I32" s="50"/>
      <c r="J32" s="48"/>
      <c r="K32" s="50"/>
      <c r="L32" s="48"/>
      <c r="M32" s="50"/>
      <c r="N32" s="48"/>
      <c r="O32" s="50"/>
      <c r="P32" s="48"/>
      <c r="Q32" s="50"/>
      <c r="R32" s="48"/>
      <c r="S32" s="50"/>
      <c r="T32" s="48"/>
      <c r="U32" s="50"/>
      <c r="V32" s="48"/>
      <c r="W32" s="50"/>
      <c r="X32" s="48"/>
      <c r="Y32" s="50"/>
      <c r="Z32" s="48"/>
      <c r="AA32" s="50"/>
      <c r="AB32" s="48"/>
      <c r="AC32" s="50"/>
      <c r="AD32" s="48"/>
    </row>
    <row r="33" spans="1:30" ht="13.15" customHeight="1">
      <c r="A33" s="8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ht="13.15" customHeight="1">
      <c r="A34" s="8"/>
      <c r="B34" s="10" t="s">
        <v>42</v>
      </c>
      <c r="C34" s="35">
        <v>0</v>
      </c>
      <c r="D34" s="35"/>
      <c r="E34" s="35">
        <v>0</v>
      </c>
      <c r="F34" s="35"/>
      <c r="G34" s="35">
        <v>0</v>
      </c>
      <c r="H34" s="35"/>
      <c r="I34" s="35">
        <v>0</v>
      </c>
      <c r="J34" s="35"/>
      <c r="K34" s="35"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v>0</v>
      </c>
      <c r="V34" s="35"/>
      <c r="W34" s="35">
        <v>0</v>
      </c>
      <c r="X34" s="35"/>
      <c r="Y34" s="35">
        <v>0</v>
      </c>
      <c r="Z34" s="35"/>
      <c r="AA34" s="35">
        <v>0</v>
      </c>
      <c r="AB34" s="35"/>
      <c r="AC34" s="35">
        <v>0</v>
      </c>
      <c r="AD34" s="35"/>
    </row>
    <row r="35" spans="1:30" ht="13.15" customHeight="1">
      <c r="A35" s="8"/>
      <c r="B35" s="10" t="s">
        <v>43</v>
      </c>
      <c r="C35" s="35">
        <v>42309</v>
      </c>
      <c r="D35" s="35"/>
      <c r="E35" s="35">
        <v>42309</v>
      </c>
      <c r="F35" s="35"/>
      <c r="G35" s="35">
        <v>42309</v>
      </c>
      <c r="H35" s="35"/>
      <c r="I35" s="35">
        <v>49339</v>
      </c>
      <c r="J35" s="35"/>
      <c r="K35" s="35">
        <v>49339</v>
      </c>
      <c r="L35" s="35"/>
      <c r="M35" s="35">
        <v>49339</v>
      </c>
      <c r="N35" s="35"/>
      <c r="O35" s="35">
        <v>49339</v>
      </c>
      <c r="P35" s="35"/>
      <c r="Q35" s="35">
        <v>37157</v>
      </c>
      <c r="R35" s="35"/>
      <c r="S35" s="35">
        <v>37157</v>
      </c>
      <c r="T35" s="35"/>
      <c r="U35" s="35">
        <v>37157</v>
      </c>
      <c r="V35" s="35"/>
      <c r="W35" s="35">
        <v>37157</v>
      </c>
      <c r="X35" s="35"/>
      <c r="Y35" s="35">
        <v>14614</v>
      </c>
      <c r="Z35" s="35"/>
      <c r="AA35" s="35">
        <v>5558</v>
      </c>
      <c r="AB35" s="35"/>
      <c r="AC35" s="35">
        <v>2315</v>
      </c>
      <c r="AD35" s="35"/>
    </row>
    <row r="36" spans="1:30" ht="13.15" customHeight="1">
      <c r="A36" s="8"/>
      <c r="B36" s="10" t="s">
        <v>44</v>
      </c>
      <c r="C36" s="35">
        <v>0</v>
      </c>
      <c r="D36" s="35"/>
      <c r="E36" s="35">
        <v>0</v>
      </c>
      <c r="F36" s="35"/>
      <c r="G36" s="35">
        <v>0</v>
      </c>
      <c r="H36" s="35"/>
      <c r="I36" s="35">
        <v>0</v>
      </c>
      <c r="J36" s="35"/>
      <c r="K36" s="35">
        <v>0</v>
      </c>
      <c r="L36" s="35"/>
      <c r="M36" s="35">
        <v>0</v>
      </c>
      <c r="N36" s="35"/>
      <c r="O36" s="35">
        <v>0</v>
      </c>
      <c r="P36" s="35"/>
      <c r="Q36" s="35">
        <v>0</v>
      </c>
      <c r="R36" s="35"/>
      <c r="S36" s="35">
        <v>0</v>
      </c>
      <c r="T36" s="35"/>
      <c r="U36" s="35">
        <v>0</v>
      </c>
      <c r="V36" s="35"/>
      <c r="W36" s="35">
        <v>0</v>
      </c>
      <c r="X36" s="35"/>
      <c r="Y36" s="35">
        <v>0</v>
      </c>
      <c r="AA36" s="35">
        <v>0</v>
      </c>
      <c r="AC36" s="35">
        <v>0</v>
      </c>
      <c r="AD36" s="35"/>
    </row>
    <row r="37" spans="1:30" ht="13.15" customHeight="1">
      <c r="A37" s="8"/>
      <c r="B37" s="10" t="s">
        <v>45</v>
      </c>
      <c r="C37" s="35">
        <v>92800.61</v>
      </c>
      <c r="D37" s="35"/>
      <c r="E37" s="35">
        <v>102324.32</v>
      </c>
      <c r="F37" s="35"/>
      <c r="G37" s="35">
        <v>111848.03</v>
      </c>
      <c r="H37" s="35"/>
      <c r="I37" s="35">
        <v>121371.74</v>
      </c>
      <c r="J37" s="35"/>
      <c r="K37" s="35">
        <v>130895.45</v>
      </c>
      <c r="L37" s="35"/>
      <c r="M37" s="35">
        <v>143695.25</v>
      </c>
      <c r="N37" s="35"/>
      <c r="O37" s="35">
        <v>149942.87</v>
      </c>
      <c r="P37" s="35"/>
      <c r="Q37" s="35">
        <v>197487.98428571399</v>
      </c>
      <c r="R37" s="35"/>
      <c r="S37" s="35">
        <v>197487.98428571399</v>
      </c>
      <c r="T37" s="35"/>
      <c r="U37" s="35">
        <v>0</v>
      </c>
      <c r="V37" s="35"/>
      <c r="W37" s="35">
        <v>185596.87</v>
      </c>
      <c r="X37" s="35"/>
      <c r="Y37" s="35">
        <v>137100.19714285716</v>
      </c>
      <c r="Z37" s="35"/>
      <c r="AA37" s="35">
        <v>0</v>
      </c>
      <c r="AB37" s="35"/>
      <c r="AC37" s="35">
        <v>0</v>
      </c>
      <c r="AD37" s="35"/>
    </row>
    <row r="38" spans="1:30" ht="13.15" customHeight="1">
      <c r="A38" s="8"/>
      <c r="B38" s="10" t="s">
        <v>46</v>
      </c>
      <c r="C38" s="35">
        <v>2064872.12</v>
      </c>
      <c r="D38" s="35"/>
      <c r="E38" s="35">
        <v>2364421.08</v>
      </c>
      <c r="F38" s="35"/>
      <c r="G38" s="35">
        <v>2000493.87</v>
      </c>
      <c r="H38" s="35"/>
      <c r="I38" s="35">
        <v>2218989.58</v>
      </c>
      <c r="J38" s="35"/>
      <c r="K38" s="65">
        <v>2218989.58</v>
      </c>
      <c r="L38" s="35"/>
      <c r="M38" s="35">
        <v>3188235.91</v>
      </c>
      <c r="N38" s="35"/>
      <c r="O38" s="35">
        <v>3629089.5</v>
      </c>
      <c r="P38" s="35"/>
      <c r="Q38" s="35">
        <v>5742000</v>
      </c>
      <c r="R38" s="35"/>
      <c r="S38" s="35">
        <v>5144455.7109350897</v>
      </c>
      <c r="T38" s="35"/>
      <c r="U38" s="35">
        <v>3417500.5725135682</v>
      </c>
      <c r="V38" s="35"/>
      <c r="W38" s="35">
        <v>3417500.57</v>
      </c>
      <c r="X38" s="35"/>
      <c r="Y38" s="35">
        <v>1916287.9725135684</v>
      </c>
      <c r="Z38" s="35"/>
      <c r="AA38" s="35">
        <v>483394.95306880062</v>
      </c>
      <c r="AB38" s="35"/>
      <c r="AC38" s="35">
        <v>141275.79141212301</v>
      </c>
      <c r="AD38" s="35"/>
    </row>
    <row r="39" spans="1:30" ht="13.15" customHeight="1">
      <c r="A39" s="8"/>
      <c r="B39" s="10" t="s">
        <v>47</v>
      </c>
      <c r="C39" s="35">
        <v>0</v>
      </c>
      <c r="D39" s="35"/>
      <c r="E39" s="35">
        <v>0</v>
      </c>
      <c r="F39" s="35"/>
      <c r="G39" s="35">
        <v>0</v>
      </c>
      <c r="H39" s="35"/>
      <c r="I39" s="35">
        <v>0</v>
      </c>
      <c r="J39" s="35"/>
      <c r="K39" s="35">
        <v>0</v>
      </c>
      <c r="L39" s="35"/>
      <c r="M39" s="35">
        <v>0</v>
      </c>
      <c r="N39" s="35"/>
      <c r="O39" s="35">
        <v>0</v>
      </c>
      <c r="P39" s="35"/>
      <c r="Q39" s="35">
        <v>0</v>
      </c>
      <c r="R39" s="35"/>
      <c r="S39" s="35"/>
      <c r="T39" s="35"/>
      <c r="U39" s="35">
        <v>0</v>
      </c>
      <c r="V39" s="35"/>
      <c r="W39" s="35">
        <v>0</v>
      </c>
      <c r="X39" s="35"/>
      <c r="Y39" s="35">
        <v>25000</v>
      </c>
      <c r="Z39" s="35"/>
      <c r="AA39" s="35">
        <v>0</v>
      </c>
      <c r="AB39" s="35"/>
      <c r="AC39" s="35">
        <v>0</v>
      </c>
      <c r="AD39" s="35"/>
    </row>
    <row r="40" spans="1:30" ht="13.15" customHeight="1">
      <c r="A40" s="8"/>
      <c r="B40" s="13" t="s">
        <v>41</v>
      </c>
      <c r="C40" s="46">
        <f>SUM(C34:C39)</f>
        <v>2199981.73</v>
      </c>
      <c r="D40" s="47"/>
      <c r="E40" s="46">
        <f>SUM(E34:E39)</f>
        <v>2509054.4</v>
      </c>
      <c r="F40" s="47"/>
      <c r="G40" s="46">
        <f>SUM(G34:G39)</f>
        <v>2154650.9</v>
      </c>
      <c r="H40" s="47"/>
      <c r="I40" s="46">
        <f>SUM(I34:I39)</f>
        <v>2389700.3200000003</v>
      </c>
      <c r="J40" s="47"/>
      <c r="K40" s="46">
        <f>SUM(K34:K39)</f>
        <v>2399224.0300000003</v>
      </c>
      <c r="L40" s="47"/>
      <c r="M40" s="46">
        <f>SUM(M34:M39)</f>
        <v>3381270.16</v>
      </c>
      <c r="N40" s="47"/>
      <c r="O40" s="46">
        <f>SUM(O34:O39)</f>
        <v>3828371.37</v>
      </c>
      <c r="P40" s="47"/>
      <c r="Q40" s="46">
        <f>SUM(Q34:Q39)</f>
        <v>5976644.9842857141</v>
      </c>
      <c r="R40" s="47"/>
      <c r="S40" s="46">
        <f>SUM(S34:S39)</f>
        <v>5379100.6952208038</v>
      </c>
      <c r="T40" s="47"/>
      <c r="U40" s="46">
        <f>SUM(U34:U39)</f>
        <v>3454657.5725135682</v>
      </c>
      <c r="V40" s="47"/>
      <c r="W40" s="46">
        <f>SUM(W34:W39)</f>
        <v>3640254.44</v>
      </c>
      <c r="X40" s="47"/>
      <c r="Y40" s="46">
        <f>SUM(Y34:Y39)</f>
        <v>2093002.1696564255</v>
      </c>
      <c r="Z40" s="47"/>
      <c r="AA40" s="46">
        <f>SUM(AA34:AA39)</f>
        <v>488952.95306880062</v>
      </c>
      <c r="AB40" s="47"/>
      <c r="AC40" s="46">
        <f>SUM(AC34:AC39)</f>
        <v>143590.79141212301</v>
      </c>
      <c r="AD40" s="47"/>
    </row>
    <row r="41" spans="1:30" ht="13.15" customHeight="1">
      <c r="A41" s="8"/>
      <c r="B41" s="10"/>
      <c r="C41" s="50"/>
      <c r="D41" s="48"/>
      <c r="E41" s="50"/>
      <c r="F41" s="48"/>
      <c r="G41" s="50"/>
      <c r="H41" s="48"/>
      <c r="I41" s="50"/>
      <c r="J41" s="48"/>
      <c r="K41" s="50"/>
      <c r="L41" s="48"/>
      <c r="M41" s="50"/>
      <c r="N41" s="48"/>
      <c r="O41" s="50"/>
      <c r="P41" s="48"/>
      <c r="Q41" s="50"/>
      <c r="R41" s="48"/>
      <c r="S41" s="50"/>
      <c r="T41" s="48"/>
      <c r="U41" s="50"/>
      <c r="V41" s="48"/>
      <c r="W41" s="50"/>
      <c r="X41" s="48"/>
      <c r="Y41" s="50"/>
      <c r="Z41" s="48"/>
      <c r="AA41" s="50"/>
      <c r="AB41" s="48"/>
      <c r="AC41" s="50"/>
      <c r="AD41" s="48"/>
    </row>
    <row r="42" spans="1:30" ht="13.15" customHeight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AD42" s="51"/>
    </row>
    <row r="43" spans="1:30" ht="13.15" customHeight="1">
      <c r="A43" s="8"/>
      <c r="B43" s="10" t="s">
        <v>49</v>
      </c>
      <c r="C43" s="35">
        <v>1507259.5899999999</v>
      </c>
      <c r="D43" s="35"/>
      <c r="E43" s="35">
        <v>259053.17</v>
      </c>
      <c r="F43" s="35"/>
      <c r="G43" s="35">
        <v>674445.05</v>
      </c>
      <c r="H43" s="35"/>
      <c r="I43" s="35">
        <v>951927.54</v>
      </c>
      <c r="J43" s="35"/>
      <c r="K43" s="35">
        <v>788627.36</v>
      </c>
      <c r="L43" s="35"/>
      <c r="M43" s="35">
        <v>222627.64999999967</v>
      </c>
      <c r="N43" s="35"/>
      <c r="O43" s="35">
        <v>2755958.5999999996</v>
      </c>
      <c r="P43" s="35"/>
      <c r="Q43" s="35">
        <v>814000</v>
      </c>
      <c r="R43" s="35"/>
      <c r="S43" s="35">
        <v>1142507.26</v>
      </c>
      <c r="T43" s="35"/>
      <c r="U43" s="35">
        <v>1838526.9899999991</v>
      </c>
      <c r="V43" s="35"/>
      <c r="W43" s="35">
        <v>904307.71</v>
      </c>
      <c r="X43" s="35"/>
      <c r="Y43" s="35">
        <v>871813.17999999993</v>
      </c>
      <c r="Z43" s="35"/>
      <c r="AA43" s="35">
        <v>367221.24</v>
      </c>
      <c r="AB43" s="35"/>
      <c r="AC43" s="35">
        <v>125013.31999999998</v>
      </c>
      <c r="AD43" s="35"/>
    </row>
    <row r="44" spans="1:30" ht="13.15" customHeight="1">
      <c r="A44" s="8"/>
      <c r="B44" s="10" t="s">
        <v>50</v>
      </c>
      <c r="C44" s="35">
        <v>0</v>
      </c>
      <c r="D44" s="35"/>
      <c r="E44" s="35">
        <v>0</v>
      </c>
      <c r="F44" s="35"/>
      <c r="G44" s="35">
        <v>0</v>
      </c>
      <c r="H44" s="35"/>
      <c r="I44" s="35">
        <v>0</v>
      </c>
      <c r="J44" s="35"/>
      <c r="K44" s="35">
        <v>0</v>
      </c>
      <c r="L44" s="35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5">
        <v>0</v>
      </c>
      <c r="V44" s="35"/>
      <c r="W44" s="35">
        <v>0</v>
      </c>
      <c r="X44" s="35"/>
      <c r="Y44" s="35">
        <v>93835.18</v>
      </c>
      <c r="Z44" s="35"/>
      <c r="AA44" s="35">
        <v>154997.82</v>
      </c>
      <c r="AB44" s="35"/>
      <c r="AC44" s="35"/>
      <c r="AD44" s="35"/>
    </row>
    <row r="45" spans="1:30" ht="13.15" customHeight="1">
      <c r="A45" s="8"/>
      <c r="B45" s="10" t="s">
        <v>46</v>
      </c>
      <c r="C45" s="35">
        <v>582830.31000000006</v>
      </c>
      <c r="D45" s="35"/>
      <c r="E45" s="35">
        <v>842626.58</v>
      </c>
      <c r="F45" s="35"/>
      <c r="G45" s="35">
        <v>1113236.9099999999</v>
      </c>
      <c r="H45" s="35"/>
      <c r="I45" s="35">
        <v>1311194.58</v>
      </c>
      <c r="J45" s="35"/>
      <c r="K45" s="35">
        <v>1951853.35</v>
      </c>
      <c r="L45" s="35"/>
      <c r="M45" s="35">
        <v>1153807.5599999998</v>
      </c>
      <c r="N45" s="35"/>
      <c r="O45" s="35">
        <v>1376086.6300000004</v>
      </c>
      <c r="P45" s="35"/>
      <c r="Q45" s="35">
        <v>1373876.02</v>
      </c>
      <c r="R45" s="35"/>
      <c r="S45" s="35">
        <v>1778175.3482669902</v>
      </c>
      <c r="T45" s="35"/>
      <c r="U45" s="35">
        <v>1822068.8278788682</v>
      </c>
      <c r="V45" s="35"/>
      <c r="W45" s="35">
        <v>1955205.19</v>
      </c>
      <c r="X45" s="35"/>
      <c r="Y45" s="35">
        <v>1212443.2878788682</v>
      </c>
      <c r="Z45" s="35"/>
      <c r="AA45" s="35">
        <v>553097.46159905952</v>
      </c>
      <c r="AB45" s="35"/>
      <c r="AC45" s="35">
        <v>112329.2728049665</v>
      </c>
      <c r="AD45" s="35"/>
    </row>
    <row r="46" spans="1:30" ht="13.15" customHeight="1">
      <c r="A46" s="8"/>
      <c r="B46" s="10" t="s">
        <v>47</v>
      </c>
      <c r="C46" s="35">
        <v>1028318.0299999999</v>
      </c>
      <c r="D46" s="35"/>
      <c r="E46" s="35">
        <v>1017991.62</v>
      </c>
      <c r="F46" s="35"/>
      <c r="G46" s="35">
        <v>19508.78</v>
      </c>
      <c r="H46" s="35"/>
      <c r="I46" s="35">
        <v>948928.88000000012</v>
      </c>
      <c r="J46" s="35"/>
      <c r="K46" s="35">
        <v>957126.7</v>
      </c>
      <c r="L46" s="35"/>
      <c r="M46" s="35">
        <v>1196150.6000000001</v>
      </c>
      <c r="N46" s="35"/>
      <c r="O46" s="35">
        <v>1128508.9399999997</v>
      </c>
      <c r="P46" s="35"/>
      <c r="Q46" s="35">
        <v>1272000</v>
      </c>
      <c r="R46" s="35"/>
      <c r="S46" s="35">
        <v>1331424.1599999999</v>
      </c>
      <c r="T46" s="35"/>
      <c r="U46" s="35">
        <v>0</v>
      </c>
      <c r="V46" s="35"/>
      <c r="W46" s="35">
        <v>1186639.19</v>
      </c>
      <c r="X46" s="35"/>
      <c r="Y46" s="35">
        <v>860288.25000000012</v>
      </c>
      <c r="Z46" s="35"/>
      <c r="AA46" s="35">
        <v>75440.02</v>
      </c>
      <c r="AB46" s="35"/>
      <c r="AC46" s="35">
        <v>25822.2</v>
      </c>
      <c r="AD46" s="35"/>
    </row>
    <row r="47" spans="1:30" ht="13.15" customHeight="1">
      <c r="A47" s="8"/>
      <c r="B47" s="10" t="s">
        <v>43</v>
      </c>
      <c r="C47" s="35">
        <v>62265</v>
      </c>
      <c r="D47" s="35"/>
      <c r="E47" s="35">
        <v>62265</v>
      </c>
      <c r="F47" s="35"/>
      <c r="G47" s="35">
        <v>62265</v>
      </c>
      <c r="H47" s="35"/>
      <c r="I47" s="35">
        <v>511569</v>
      </c>
      <c r="J47" s="35"/>
      <c r="K47" s="35">
        <v>511569</v>
      </c>
      <c r="L47" s="35"/>
      <c r="M47" s="35">
        <v>511569</v>
      </c>
      <c r="N47" s="35"/>
      <c r="O47" s="35">
        <v>511569</v>
      </c>
      <c r="P47" s="35"/>
      <c r="Q47" s="35">
        <v>287079</v>
      </c>
      <c r="R47" s="35"/>
      <c r="S47" s="35">
        <v>287079</v>
      </c>
      <c r="T47" s="35"/>
      <c r="U47" s="35">
        <v>287079</v>
      </c>
      <c r="V47" s="35"/>
      <c r="W47" s="35">
        <v>287079</v>
      </c>
      <c r="X47" s="35"/>
      <c r="Y47" s="35">
        <v>101403</v>
      </c>
      <c r="Z47" s="35"/>
      <c r="AA47" s="35">
        <v>44661</v>
      </c>
      <c r="AB47" s="35"/>
      <c r="AC47" s="35">
        <v>4442</v>
      </c>
      <c r="AD47" s="35"/>
    </row>
    <row r="48" spans="1:30" ht="13.15" customHeight="1">
      <c r="A48" s="8"/>
      <c r="B48" s="10" t="s">
        <v>51</v>
      </c>
      <c r="C48" s="35">
        <v>0</v>
      </c>
      <c r="D48" s="35"/>
      <c r="E48" s="35">
        <v>0</v>
      </c>
      <c r="F48" s="35"/>
      <c r="G48" s="35">
        <v>0</v>
      </c>
      <c r="H48" s="35"/>
      <c r="I48" s="35">
        <v>0</v>
      </c>
      <c r="J48" s="35"/>
      <c r="K48" s="35">
        <v>0</v>
      </c>
      <c r="L48" s="35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5">
        <v>0</v>
      </c>
      <c r="V48" s="35"/>
      <c r="W48" s="35">
        <v>0</v>
      </c>
      <c r="X48" s="35"/>
      <c r="Y48" s="35">
        <v>0</v>
      </c>
      <c r="Z48" s="35"/>
      <c r="AA48" s="35">
        <v>0</v>
      </c>
      <c r="AB48" s="35"/>
      <c r="AC48" s="35">
        <v>0</v>
      </c>
      <c r="AD48" s="35"/>
    </row>
    <row r="49" spans="1:30" ht="13.15" customHeight="1">
      <c r="A49" s="8"/>
      <c r="B49" s="10" t="s">
        <v>45</v>
      </c>
      <c r="C49" s="35">
        <v>8262534.04</v>
      </c>
      <c r="D49" s="35"/>
      <c r="E49" s="35">
        <v>10409125.84</v>
      </c>
      <c r="F49" s="35"/>
      <c r="G49" s="35">
        <v>3679438.4</v>
      </c>
      <c r="H49" s="35"/>
      <c r="I49" s="35">
        <v>10578476.439999999</v>
      </c>
      <c r="J49" s="35"/>
      <c r="K49" s="35">
        <v>11898548.73</v>
      </c>
      <c r="L49" s="35"/>
      <c r="M49" s="35">
        <v>12889449.219999999</v>
      </c>
      <c r="N49" s="35"/>
      <c r="O49" s="35">
        <v>12228144.220000001</v>
      </c>
      <c r="P49" s="35"/>
      <c r="Q49" s="35">
        <v>8543000</v>
      </c>
      <c r="R49" s="35"/>
      <c r="S49" s="35">
        <v>9936292.092857141</v>
      </c>
      <c r="T49" s="35"/>
      <c r="U49" s="35">
        <v>5716973.4242556877</v>
      </c>
      <c r="V49" s="35"/>
      <c r="W49" s="35">
        <v>7993035.1500000004</v>
      </c>
      <c r="X49" s="35"/>
      <c r="Y49" s="35">
        <v>1347909.5028571428</v>
      </c>
      <c r="Z49" s="35"/>
      <c r="AA49" s="35">
        <v>341328.81</v>
      </c>
      <c r="AB49" s="35"/>
      <c r="AC49" s="35">
        <v>488471.81</v>
      </c>
      <c r="AD49" s="35"/>
    </row>
    <row r="50" spans="1:30" ht="13.15" customHeight="1">
      <c r="A50" s="8"/>
      <c r="B50" s="10" t="s">
        <v>52</v>
      </c>
      <c r="C50" s="35">
        <v>0</v>
      </c>
      <c r="D50" s="35"/>
      <c r="E50" s="35">
        <v>0</v>
      </c>
      <c r="F50" s="35"/>
      <c r="G50" s="35">
        <v>0</v>
      </c>
      <c r="H50" s="35"/>
      <c r="I50" s="35">
        <v>0</v>
      </c>
      <c r="J50" s="35"/>
      <c r="K50" s="35">
        <v>0</v>
      </c>
      <c r="L50" s="35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5">
        <v>0</v>
      </c>
      <c r="V50" s="35"/>
      <c r="W50" s="35">
        <v>0</v>
      </c>
      <c r="X50" s="35"/>
      <c r="Y50" s="35"/>
      <c r="Z50" s="35"/>
      <c r="AA50" s="35"/>
      <c r="AB50" s="35"/>
      <c r="AC50" s="35"/>
      <c r="AD50" s="35"/>
    </row>
    <row r="51" spans="1:30" ht="13.15" customHeight="1">
      <c r="A51" s="8"/>
      <c r="B51" s="13" t="s">
        <v>48</v>
      </c>
      <c r="C51" s="46">
        <f>SUM(C43:C50)</f>
        <v>11443206.969999999</v>
      </c>
      <c r="D51" s="47"/>
      <c r="E51" s="46">
        <f>SUM(E43:E50)</f>
        <v>12591062.210000001</v>
      </c>
      <c r="F51" s="47"/>
      <c r="G51" s="46">
        <f>SUM(G43:G50)</f>
        <v>5548894.1399999997</v>
      </c>
      <c r="H51" s="47"/>
      <c r="I51" s="46">
        <f>SUM(I43:I50)</f>
        <v>14302096.439999999</v>
      </c>
      <c r="J51" s="47"/>
      <c r="K51" s="46">
        <f>SUM(K43:K50)</f>
        <v>16107725.140000001</v>
      </c>
      <c r="L51" s="47"/>
      <c r="M51" s="46">
        <f>SUM(M43:M50)</f>
        <v>15973604.029999997</v>
      </c>
      <c r="N51" s="47"/>
      <c r="O51" s="46">
        <f>SUM(O43:O50)</f>
        <v>18000267.390000001</v>
      </c>
      <c r="P51" s="47"/>
      <c r="Q51" s="46">
        <f>SUM(Q43:Q50)</f>
        <v>12289955.02</v>
      </c>
      <c r="R51" s="47"/>
      <c r="S51" s="46">
        <f>SUM(S43:S50)</f>
        <v>14475477.861124132</v>
      </c>
      <c r="T51" s="47"/>
      <c r="U51" s="46">
        <f>SUM(U43:U50)</f>
        <v>9664648.2421345562</v>
      </c>
      <c r="V51" s="47"/>
      <c r="W51" s="46">
        <f>SUM(W43:W50)</f>
        <v>12326266.24</v>
      </c>
      <c r="X51" s="47"/>
      <c r="Y51" s="46">
        <f>SUM(Y43:Y50)</f>
        <v>4487692.4007360106</v>
      </c>
      <c r="Z51" s="47"/>
      <c r="AA51" s="46">
        <f>SUM(AA43:AA50)</f>
        <v>1536746.3515990595</v>
      </c>
      <c r="AB51" s="47"/>
      <c r="AC51" s="46">
        <f>SUM(AC43:AC50)</f>
        <v>756078.6028049665</v>
      </c>
      <c r="AD51" s="47"/>
    </row>
    <row r="52" spans="1:30" ht="13.15" customHeight="1">
      <c r="A52" s="8"/>
      <c r="B52" s="10"/>
      <c r="C52" s="50"/>
      <c r="D52" s="48"/>
      <c r="E52" s="50"/>
      <c r="F52" s="48"/>
      <c r="G52" s="50"/>
      <c r="H52" s="48"/>
      <c r="I52" s="50"/>
      <c r="J52" s="48"/>
      <c r="K52" s="50"/>
      <c r="L52" s="48"/>
      <c r="M52" s="50"/>
      <c r="N52" s="48"/>
      <c r="O52" s="50"/>
      <c r="P52" s="48"/>
      <c r="Q52" s="50"/>
      <c r="R52" s="48"/>
      <c r="S52" s="50"/>
      <c r="T52" s="48"/>
      <c r="U52" s="50"/>
      <c r="V52" s="48"/>
      <c r="W52" s="50"/>
      <c r="X52" s="48"/>
      <c r="Y52" s="50"/>
      <c r="Z52" s="48"/>
      <c r="AA52" s="50"/>
      <c r="AB52" s="48"/>
      <c r="AC52" s="50"/>
      <c r="AD52" s="48"/>
    </row>
    <row r="53" spans="1:30" ht="13.15" customHeight="1">
      <c r="A53" s="8"/>
      <c r="B53" s="16" t="s">
        <v>53</v>
      </c>
      <c r="C53" s="46">
        <f>C51+C40</f>
        <v>13643188.699999999</v>
      </c>
      <c r="D53" s="47"/>
      <c r="E53" s="46">
        <f>E51+E40</f>
        <v>15100116.610000001</v>
      </c>
      <c r="F53" s="47"/>
      <c r="G53" s="46">
        <f>G51+G40</f>
        <v>7703545.0399999991</v>
      </c>
      <c r="H53" s="47"/>
      <c r="I53" s="46">
        <f>I51+I40</f>
        <v>16691796.76</v>
      </c>
      <c r="J53" s="47"/>
      <c r="K53" s="46">
        <f>K51+K40</f>
        <v>18506949.170000002</v>
      </c>
      <c r="L53" s="47"/>
      <c r="M53" s="46">
        <f>M51+M40</f>
        <v>19354874.189999998</v>
      </c>
      <c r="N53" s="47"/>
      <c r="O53" s="46">
        <f>O51+O40</f>
        <v>21828638.760000002</v>
      </c>
      <c r="P53" s="47"/>
      <c r="Q53" s="46">
        <f>Q51+Q40</f>
        <v>18266600.004285716</v>
      </c>
      <c r="R53" s="47"/>
      <c r="S53" s="46">
        <f>S51+S40</f>
        <v>19854578.556344934</v>
      </c>
      <c r="T53" s="47"/>
      <c r="U53" s="46">
        <f>U51+U40</f>
        <v>13119305.814648125</v>
      </c>
      <c r="V53" s="47"/>
      <c r="W53" s="46">
        <f>W51+W40</f>
        <v>15966520.68</v>
      </c>
      <c r="X53" s="47"/>
      <c r="Y53" s="46">
        <f>Y51+Y40</f>
        <v>6580694.5703924363</v>
      </c>
      <c r="Z53" s="47"/>
      <c r="AA53" s="46">
        <f>AA51+AA40</f>
        <v>2025699.3046678603</v>
      </c>
      <c r="AB53" s="47"/>
      <c r="AC53" s="46">
        <f>AC51+AC40</f>
        <v>899669.39421708952</v>
      </c>
      <c r="AD53" s="47"/>
    </row>
    <row r="54" spans="1:30" ht="13.15" customHeight="1">
      <c r="A54" s="8"/>
      <c r="B54" s="10"/>
      <c r="C54" s="50"/>
      <c r="D54" s="48"/>
      <c r="E54" s="50"/>
      <c r="F54" s="48"/>
      <c r="G54" s="50"/>
      <c r="H54" s="48"/>
      <c r="I54" s="50"/>
      <c r="J54" s="48"/>
      <c r="K54" s="50"/>
      <c r="L54" s="48"/>
      <c r="M54" s="50"/>
      <c r="N54" s="48"/>
      <c r="O54" s="50"/>
      <c r="P54" s="48"/>
      <c r="Q54" s="50"/>
      <c r="R54" s="48"/>
      <c r="S54" s="50"/>
      <c r="T54" s="48"/>
      <c r="U54" s="50"/>
      <c r="V54" s="48"/>
      <c r="W54" s="50"/>
      <c r="X54" s="48"/>
      <c r="Y54" s="50"/>
      <c r="Z54" s="48"/>
      <c r="AA54" s="50"/>
      <c r="AB54" s="48"/>
      <c r="AC54" s="50"/>
      <c r="AD54" s="48"/>
    </row>
    <row r="55" spans="1:30" ht="13.15" customHeight="1" thickBot="1">
      <c r="A55" s="8"/>
      <c r="B55" s="32" t="s">
        <v>54</v>
      </c>
      <c r="C55" s="40">
        <f>C53+C31</f>
        <v>43295045.960000008</v>
      </c>
      <c r="D55" s="36"/>
      <c r="E55" s="40">
        <f>E53+E31</f>
        <v>49314979.480000004</v>
      </c>
      <c r="F55" s="36"/>
      <c r="G55" s="40">
        <f>G53+G31</f>
        <v>47189933.379999995</v>
      </c>
      <c r="H55" s="36"/>
      <c r="I55" s="40">
        <f>I53+I31</f>
        <v>55764400.460000001</v>
      </c>
      <c r="J55" s="36"/>
      <c r="K55" s="40">
        <f>K53+K31</f>
        <v>61289000.620000005</v>
      </c>
      <c r="L55" s="36"/>
      <c r="M55" s="40">
        <f>M53+M31</f>
        <v>65762002.689999998</v>
      </c>
      <c r="N55" s="36"/>
      <c r="O55" s="40">
        <f>O53+O31</f>
        <v>18941714.000000007</v>
      </c>
      <c r="P55" s="36"/>
      <c r="Q55" s="40">
        <f>Q53+Q31</f>
        <v>18796000.004285716</v>
      </c>
      <c r="R55" s="36"/>
      <c r="S55" s="40">
        <f>S53+S31</f>
        <v>22092299.760986034</v>
      </c>
      <c r="T55" s="36"/>
      <c r="U55" s="40">
        <f>U53+U31</f>
        <v>17058607.7841544</v>
      </c>
      <c r="V55" s="36"/>
      <c r="W55" s="40">
        <f>W53+W31</f>
        <v>21084776.34</v>
      </c>
      <c r="X55" s="36"/>
      <c r="Y55" s="40">
        <f>Y53+Y31</f>
        <v>6329976.3668724913</v>
      </c>
      <c r="Z55" s="36"/>
      <c r="AA55" s="40">
        <f>AA53+AA31</f>
        <v>2246541.9685841054</v>
      </c>
      <c r="AB55" s="36"/>
      <c r="AC55" s="40">
        <f>AC53+AC31</f>
        <v>1206901.2862170895</v>
      </c>
      <c r="AD55" s="36"/>
    </row>
    <row r="56" spans="1:30">
      <c r="A56" s="8"/>
    </row>
    <row r="59" spans="1:30">
      <c r="B59" s="1" t="s">
        <v>55</v>
      </c>
      <c r="C59" s="9">
        <f>+C21-C55</f>
        <v>0</v>
      </c>
      <c r="E59" s="9">
        <f>+E21-E55</f>
        <v>0</v>
      </c>
      <c r="G59" s="9">
        <f>+G21-G55</f>
        <v>0</v>
      </c>
      <c r="I59" s="9">
        <f>+I21-I55</f>
        <v>0</v>
      </c>
      <c r="K59" s="9">
        <f>+K21-K55</f>
        <v>0</v>
      </c>
      <c r="M59" s="9">
        <f>+M21-M55</f>
        <v>0</v>
      </c>
      <c r="O59" s="9">
        <f>+O21-O55</f>
        <v>0</v>
      </c>
      <c r="Q59" s="9">
        <f>+Q21-Q55</f>
        <v>-4.2857155203819275E-3</v>
      </c>
      <c r="S59" s="9">
        <f>+S21-S55</f>
        <v>-6.1649829149246216E-4</v>
      </c>
      <c r="U59" s="9">
        <f>+U21-U55</f>
        <v>0</v>
      </c>
      <c r="W59" s="9">
        <f>+W21-W55</f>
        <v>0</v>
      </c>
      <c r="Y59" s="9">
        <f>+Y21-Y55</f>
        <v>-2.1302457898855209E-3</v>
      </c>
      <c r="AA59" s="9">
        <f>+AA21-AA55</f>
        <v>-2.1302402019500732E-3</v>
      </c>
      <c r="AC59" s="9">
        <f>+AC21-AC55</f>
        <v>1.1359404306858778E-3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A99C-3CD7-45DB-8F99-7DD6A6B90878}">
  <sheetPr>
    <tabColor rgb="FF0070C0"/>
  </sheetPr>
  <dimension ref="B1:AF51"/>
  <sheetViews>
    <sheetView showGridLines="0" tabSelected="1" zoomScale="120" zoomScaleNormal="12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C52" sqref="C52"/>
    </sheetView>
  </sheetViews>
  <sheetFormatPr defaultRowHeight="12.75"/>
  <cols>
    <col min="1" max="1" width="1.5703125" customWidth="1"/>
    <col min="2" max="2" width="46.42578125" customWidth="1"/>
    <col min="3" max="3" width="13.140625" customWidth="1"/>
    <col min="4" max="4" width="0.7109375" customWidth="1"/>
    <col min="5" max="5" width="13.140625" customWidth="1"/>
    <col min="6" max="6" width="0.7109375" customWidth="1"/>
    <col min="7" max="7" width="13.140625" customWidth="1"/>
    <col min="8" max="8" width="0.7109375" customWidth="1"/>
    <col min="9" max="9" width="13.140625" customWidth="1"/>
    <col min="10" max="10" width="0.7109375" customWidth="1"/>
    <col min="11" max="11" width="13.140625" customWidth="1"/>
    <col min="12" max="12" width="0.7109375" customWidth="1"/>
    <col min="13" max="13" width="13.140625" customWidth="1"/>
    <col min="14" max="14" width="0.7109375" customWidth="1"/>
    <col min="15" max="15" width="13.140625" customWidth="1"/>
    <col min="16" max="16" width="0.7109375" customWidth="1"/>
    <col min="17" max="17" width="13.140625" customWidth="1"/>
    <col min="18" max="18" width="0.7109375" customWidth="1"/>
    <col min="19" max="19" width="13.140625" customWidth="1"/>
    <col min="20" max="20" width="0.7109375" customWidth="1"/>
    <col min="21" max="21" width="13.140625" customWidth="1"/>
    <col min="22" max="22" width="0.7109375" customWidth="1"/>
    <col min="23" max="23" width="13.140625" customWidth="1"/>
    <col min="24" max="24" width="0.7109375" customWidth="1"/>
    <col min="25" max="25" width="13.140625" customWidth="1"/>
    <col min="26" max="26" width="0.7109375" customWidth="1"/>
    <col min="27" max="27" width="13.140625" customWidth="1"/>
    <col min="28" max="28" width="0.7109375" customWidth="1"/>
    <col min="29" max="29" width="13.140625" customWidth="1"/>
    <col min="30" max="30" width="0.7109375" customWidth="1"/>
    <col min="31" max="31" width="13.140625" customWidth="1"/>
    <col min="32" max="32" width="0.7109375" customWidth="1"/>
  </cols>
  <sheetData>
    <row r="1" spans="2:32" ht="34.15" customHeight="1"/>
    <row r="3" spans="2:32" ht="18.75">
      <c r="B3" s="63" t="s">
        <v>101</v>
      </c>
    </row>
    <row r="4" spans="2:32" ht="19.5" thickBot="1">
      <c r="B4" s="63"/>
    </row>
    <row r="5" spans="2:32" ht="13.5" thickBot="1">
      <c r="B5" s="33" t="s">
        <v>113</v>
      </c>
    </row>
    <row r="6" spans="2:32" ht="13.5" thickBot="1">
      <c r="B6" s="64" t="s">
        <v>114</v>
      </c>
    </row>
    <row r="7" spans="2:3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2:32" ht="23.25" thickBot="1">
      <c r="B8" s="12" t="s">
        <v>0</v>
      </c>
      <c r="C8" s="7" t="str">
        <f>RZiS!C11</f>
        <v>Okres zakończony 30.06.2022</v>
      </c>
      <c r="D8" s="5"/>
      <c r="E8" s="7" t="str">
        <f>RZiS!E11</f>
        <v>Okres zakończony 31.03.2022</v>
      </c>
      <c r="F8" s="5"/>
      <c r="G8" s="7" t="str">
        <f>RZiS!G11</f>
        <v>Okres zakończony 31.12.2021</v>
      </c>
      <c r="H8" s="5"/>
      <c r="I8" s="7" t="str">
        <f>RZiS!I11</f>
        <v>Okres zakończony 30.09.2021</v>
      </c>
      <c r="J8" s="5"/>
      <c r="K8" s="7" t="str">
        <f>RZiS!K11</f>
        <v>Okres zakończony 30.06.2021</v>
      </c>
      <c r="L8" s="5"/>
      <c r="M8" s="7" t="str">
        <f>RZiS!M11</f>
        <v>Okres zakończony 31.03.2021</v>
      </c>
      <c r="N8" s="5"/>
      <c r="O8" s="7" t="str">
        <f>RZiS!O11</f>
        <v>Okres zakończony 31.12.2020</v>
      </c>
      <c r="P8" s="5"/>
      <c r="Q8" s="7" t="str">
        <f>RZiS!Q11</f>
        <v>Okres zakończony 30.09.2020</v>
      </c>
      <c r="R8" s="5"/>
      <c r="S8" s="7" t="str">
        <f>RZiS!S11</f>
        <v>Okres zakończony 30.06.2020</v>
      </c>
      <c r="T8" s="5"/>
      <c r="U8" s="7" t="str">
        <f>RZiS!U11</f>
        <v>Okres zakończony 31.03.2020</v>
      </c>
      <c r="V8" s="5"/>
      <c r="W8" s="7" t="str">
        <f>RZiS!W11</f>
        <v>Okres zakończony 31.12.2019</v>
      </c>
      <c r="X8" s="5"/>
      <c r="Y8" s="7" t="str">
        <f>RZiS!Y11</f>
        <v>okres zakończony 30.09.2019</v>
      </c>
      <c r="Z8" s="5"/>
      <c r="AA8" s="7" t="str">
        <f>RZiS!AA11</f>
        <v>okres zakończony 30.06.2019</v>
      </c>
      <c r="AB8" s="5"/>
      <c r="AC8" s="7" t="str">
        <f>RZiS!AC11</f>
        <v>Okres zakończony 31.12.2018</v>
      </c>
      <c r="AD8" s="5"/>
      <c r="AE8" s="7" t="str">
        <f>RZiS!AE11</f>
        <v>Okres zakończony 31.12.2017</v>
      </c>
      <c r="AF8" s="5"/>
    </row>
    <row r="9" spans="2:32" ht="13.5" thickBot="1">
      <c r="B9" s="33" t="s">
        <v>70</v>
      </c>
      <c r="C9" s="34"/>
      <c r="D9" s="34"/>
      <c r="E9" s="34"/>
      <c r="F9" s="34"/>
      <c r="G9" s="62"/>
      <c r="H9" s="34"/>
      <c r="I9" s="34"/>
      <c r="J9" s="34"/>
      <c r="K9" s="34"/>
      <c r="L9" s="34"/>
      <c r="M9" s="34"/>
      <c r="N9" s="34"/>
      <c r="O9" s="62"/>
      <c r="P9" s="34"/>
      <c r="Q9" s="34"/>
      <c r="R9" s="34"/>
      <c r="S9" s="34"/>
      <c r="T9" s="34"/>
      <c r="U9" s="34"/>
      <c r="V9" s="34"/>
      <c r="W9" s="62"/>
      <c r="X9" s="34"/>
      <c r="Y9" s="34"/>
      <c r="Z9" s="34"/>
      <c r="AA9" s="34"/>
      <c r="AB9" s="34"/>
      <c r="AC9" s="62"/>
      <c r="AD9" s="34"/>
      <c r="AE9" s="62"/>
      <c r="AF9" s="34"/>
    </row>
    <row r="10" spans="2:32">
      <c r="B10" s="26" t="s">
        <v>56</v>
      </c>
      <c r="C10" s="52">
        <f>-12023042.81-E10</f>
        <v>-5663307.0900000008</v>
      </c>
      <c r="D10" s="52"/>
      <c r="E10" s="52">
        <v>-6359735.7199999997</v>
      </c>
      <c r="F10" s="52"/>
      <c r="G10" s="52">
        <v>-11764855.67</v>
      </c>
      <c r="H10" s="52"/>
      <c r="I10" s="52">
        <v>-4275662.7499999991</v>
      </c>
      <c r="J10" s="52"/>
      <c r="K10" s="52">
        <f>-6796305.26-M10</f>
        <v>-3663917.6700000004</v>
      </c>
      <c r="L10" s="52"/>
      <c r="M10" s="52">
        <v>-3132387.5899999994</v>
      </c>
      <c r="N10" s="52"/>
      <c r="O10" s="52">
        <v>-11755588.909999996</v>
      </c>
      <c r="P10" s="52"/>
      <c r="Q10" s="52">
        <v>-2641000</v>
      </c>
      <c r="R10" s="52"/>
      <c r="S10" s="52">
        <v>-2634059.685691372</v>
      </c>
      <c r="T10" s="52"/>
      <c r="U10" s="52">
        <v>-2111432.0041737929</v>
      </c>
      <c r="V10" s="52"/>
      <c r="W10" s="52">
        <v>-4195346.1519737793</v>
      </c>
      <c r="X10" s="52"/>
      <c r="Y10" s="52">
        <v>-761000</v>
      </c>
      <c r="Z10" s="52"/>
      <c r="AA10" s="52">
        <v>-1262957.9100257484</v>
      </c>
      <c r="AB10" s="52"/>
      <c r="AC10" s="52">
        <v>-3081793.1374361897</v>
      </c>
      <c r="AD10" s="52"/>
      <c r="AE10" s="52">
        <v>-396822.22808375501</v>
      </c>
      <c r="AF10" s="52"/>
    </row>
    <row r="11" spans="2:32">
      <c r="B11" s="27" t="s">
        <v>71</v>
      </c>
      <c r="C11" s="53">
        <v>0</v>
      </c>
      <c r="D11" s="53"/>
      <c r="E11" s="53">
        <v>0</v>
      </c>
      <c r="F11" s="53"/>
      <c r="G11" s="53">
        <v>0</v>
      </c>
      <c r="H11" s="53"/>
      <c r="I11" s="53">
        <v>0</v>
      </c>
      <c r="J11" s="53"/>
      <c r="K11" s="53">
        <v>0</v>
      </c>
      <c r="L11" s="53"/>
      <c r="M11" s="53">
        <v>0</v>
      </c>
      <c r="N11" s="53"/>
      <c r="O11" s="53">
        <v>0</v>
      </c>
      <c r="P11" s="53"/>
      <c r="Q11" s="53">
        <v>0</v>
      </c>
      <c r="R11" s="53"/>
      <c r="S11" s="53">
        <v>0</v>
      </c>
      <c r="T11" s="53"/>
      <c r="U11" s="53">
        <v>0</v>
      </c>
      <c r="V11" s="53"/>
      <c r="W11" s="53">
        <v>0</v>
      </c>
      <c r="X11" s="53"/>
      <c r="Y11" s="53"/>
      <c r="Z11" s="53"/>
      <c r="AA11" s="53">
        <v>0</v>
      </c>
      <c r="AB11" s="53"/>
      <c r="AC11" s="53">
        <v>0</v>
      </c>
      <c r="AD11" s="53"/>
      <c r="AE11" s="53">
        <v>0</v>
      </c>
      <c r="AF11" s="53"/>
    </row>
    <row r="12" spans="2:32">
      <c r="B12" s="27" t="s">
        <v>72</v>
      </c>
      <c r="C12" s="53">
        <v>0</v>
      </c>
      <c r="D12" s="53"/>
      <c r="E12" s="53">
        <v>0</v>
      </c>
      <c r="F12" s="53"/>
      <c r="G12" s="53">
        <v>0</v>
      </c>
      <c r="H12" s="53"/>
      <c r="I12" s="53">
        <v>0</v>
      </c>
      <c r="J12" s="53"/>
      <c r="K12" s="53">
        <v>0</v>
      </c>
      <c r="L12" s="53"/>
      <c r="M12" s="53">
        <v>0</v>
      </c>
      <c r="N12" s="53"/>
      <c r="O12" s="53">
        <v>0</v>
      </c>
      <c r="P12" s="53"/>
      <c r="Q12" s="53">
        <v>0</v>
      </c>
      <c r="R12" s="53"/>
      <c r="S12" s="53">
        <v>0</v>
      </c>
      <c r="T12" s="53"/>
      <c r="U12" s="53">
        <v>0</v>
      </c>
      <c r="V12" s="53"/>
      <c r="W12" s="53">
        <v>0</v>
      </c>
      <c r="X12" s="53"/>
      <c r="Y12" s="53"/>
      <c r="Z12" s="53"/>
      <c r="AA12" s="53">
        <v>0</v>
      </c>
      <c r="AB12" s="53"/>
      <c r="AC12" s="53">
        <v>0</v>
      </c>
      <c r="AD12" s="53"/>
      <c r="AE12" s="53">
        <v>0</v>
      </c>
      <c r="AF12" s="53"/>
    </row>
    <row r="13" spans="2:32">
      <c r="B13" s="27" t="s">
        <v>73</v>
      </c>
      <c r="C13" s="53">
        <v>0</v>
      </c>
      <c r="D13" s="53"/>
      <c r="E13" s="53">
        <v>0</v>
      </c>
      <c r="F13" s="53"/>
      <c r="G13" s="53">
        <v>0</v>
      </c>
      <c r="H13" s="53"/>
      <c r="I13" s="53">
        <v>0</v>
      </c>
      <c r="J13" s="53"/>
      <c r="K13" s="53">
        <v>0</v>
      </c>
      <c r="L13" s="53"/>
      <c r="M13" s="53">
        <v>0</v>
      </c>
      <c r="N13" s="53"/>
      <c r="O13" s="53">
        <v>0</v>
      </c>
      <c r="P13" s="53"/>
      <c r="Q13" s="53">
        <v>0</v>
      </c>
      <c r="R13" s="53"/>
      <c r="S13" s="53">
        <v>0</v>
      </c>
      <c r="T13" s="53"/>
      <c r="U13" s="53">
        <v>0</v>
      </c>
      <c r="V13" s="53"/>
      <c r="W13" s="53">
        <v>0</v>
      </c>
      <c r="X13" s="53"/>
      <c r="Y13" s="53"/>
      <c r="Z13" s="53"/>
      <c r="AA13" s="53">
        <v>0</v>
      </c>
      <c r="AB13" s="53"/>
      <c r="AC13" s="53">
        <v>0</v>
      </c>
      <c r="AD13" s="53"/>
      <c r="AE13" s="53">
        <v>0</v>
      </c>
      <c r="AF13" s="53"/>
    </row>
    <row r="14" spans="2:32">
      <c r="B14" s="23" t="s">
        <v>17</v>
      </c>
      <c r="C14" s="52">
        <f t="shared" ref="C14:E14" si="0">SUM(C10:C11)</f>
        <v>-5663307.0900000008</v>
      </c>
      <c r="D14" s="52"/>
      <c r="E14" s="52">
        <f t="shared" si="0"/>
        <v>-6359735.7199999997</v>
      </c>
      <c r="F14" s="52"/>
      <c r="G14" s="52">
        <f t="shared" ref="G14:Q14" si="1">SUM(G10:G11)</f>
        <v>-11764855.67</v>
      </c>
      <c r="H14" s="52"/>
      <c r="I14" s="52">
        <f t="shared" si="1"/>
        <v>-4275662.7499999991</v>
      </c>
      <c r="J14" s="52"/>
      <c r="K14" s="52">
        <f t="shared" si="1"/>
        <v>-3663917.6700000004</v>
      </c>
      <c r="L14" s="52"/>
      <c r="M14" s="52">
        <f t="shared" si="1"/>
        <v>-3132387.5899999994</v>
      </c>
      <c r="N14" s="52"/>
      <c r="O14" s="52">
        <f t="shared" si="1"/>
        <v>-11755588.909999996</v>
      </c>
      <c r="P14" s="52"/>
      <c r="Q14" s="52">
        <f t="shared" si="1"/>
        <v>-2641000</v>
      </c>
      <c r="R14" s="52"/>
      <c r="S14" s="52">
        <f t="shared" ref="S14" si="2">SUM(S10:S11)</f>
        <v>-2634059.685691372</v>
      </c>
      <c r="T14" s="52"/>
      <c r="U14" s="52">
        <f t="shared" ref="U14" si="3">SUM(U10:U11)</f>
        <v>-2111432.0041737929</v>
      </c>
      <c r="V14" s="52"/>
      <c r="W14" s="52">
        <f t="shared" ref="W14" si="4">SUM(W10:W11)</f>
        <v>-4195346.1519737793</v>
      </c>
      <c r="X14" s="52"/>
      <c r="Y14" s="52">
        <f t="shared" ref="Y14" si="5">SUM(Y10:Y11)</f>
        <v>-761000</v>
      </c>
      <c r="Z14" s="52"/>
      <c r="AA14" s="52">
        <f t="shared" ref="AA14" si="6">SUM(AA10:AA11)</f>
        <v>-1262957.9100257484</v>
      </c>
      <c r="AB14" s="52"/>
      <c r="AC14" s="52">
        <f t="shared" ref="AC14" si="7">SUM(AC10:AC11)</f>
        <v>-3081793.1374361897</v>
      </c>
      <c r="AD14" s="52"/>
      <c r="AE14" s="52">
        <f t="shared" ref="AE14" si="8">SUM(AE10:AE11)</f>
        <v>-396822.22808375501</v>
      </c>
      <c r="AF14" s="52"/>
    </row>
    <row r="15" spans="2:32">
      <c r="B15" s="23" t="s">
        <v>74</v>
      </c>
      <c r="C15" s="52">
        <f t="shared" ref="C15:E15" si="9">SUM(C16:C26)</f>
        <v>1097538.2600000002</v>
      </c>
      <c r="D15" s="52"/>
      <c r="E15" s="52">
        <f t="shared" si="9"/>
        <v>9117847.3100000005</v>
      </c>
      <c r="F15" s="52"/>
      <c r="G15" s="52">
        <f t="shared" ref="G15:W15" si="10">SUM(G16:G26)</f>
        <v>-12270339.699999999</v>
      </c>
      <c r="H15" s="52"/>
      <c r="I15" s="52">
        <f t="shared" si="10"/>
        <v>-2136949.6900000009</v>
      </c>
      <c r="J15" s="52"/>
      <c r="K15" s="52">
        <f t="shared" si="10"/>
        <v>2585982.3317556889</v>
      </c>
      <c r="L15" s="52"/>
      <c r="M15" s="52">
        <f t="shared" si="10"/>
        <v>-7856306.9017556878</v>
      </c>
      <c r="N15" s="52"/>
      <c r="O15" s="52">
        <f t="shared" si="10"/>
        <v>10402941.179999998</v>
      </c>
      <c r="P15" s="52"/>
      <c r="Q15" s="52">
        <f t="shared" si="10"/>
        <v>1148000</v>
      </c>
      <c r="R15" s="52"/>
      <c r="S15" s="52">
        <f t="shared" si="10"/>
        <v>6192438.4732133644</v>
      </c>
      <c r="T15" s="52"/>
      <c r="U15" s="52">
        <f t="shared" si="10"/>
        <v>-2039191.3887133675</v>
      </c>
      <c r="V15" s="52"/>
      <c r="W15" s="52">
        <f t="shared" si="10"/>
        <v>11109546.339125142</v>
      </c>
      <c r="X15" s="52"/>
      <c r="Y15" s="52">
        <f t="shared" ref="Y15" si="11">SUM(Y16:Y26)</f>
        <v>-419000</v>
      </c>
      <c r="Z15" s="52"/>
      <c r="AA15" s="52">
        <f t="shared" ref="AA15" si="12">SUM(AA16:AA26)</f>
        <v>-1358247.8268200001</v>
      </c>
      <c r="AB15" s="52"/>
      <c r="AC15" s="52">
        <f t="shared" ref="AC15" si="13">SUM(AC16:AC26)</f>
        <v>1730833.5571015887</v>
      </c>
      <c r="AD15" s="52"/>
      <c r="AE15" s="52">
        <f t="shared" ref="AE15" si="14">SUM(AE16:AE26)</f>
        <v>388158.47600176441</v>
      </c>
      <c r="AF15" s="52"/>
    </row>
    <row r="16" spans="2:32">
      <c r="B16" s="24" t="s">
        <v>57</v>
      </c>
      <c r="C16" s="53">
        <f>1211831.18-E16</f>
        <v>587726.05999999994</v>
      </c>
      <c r="D16" s="53"/>
      <c r="E16" s="53">
        <v>624105.12</v>
      </c>
      <c r="F16" s="53"/>
      <c r="G16" s="53">
        <v>2919959.08</v>
      </c>
      <c r="H16" s="53"/>
      <c r="I16" s="53">
        <v>664717.62000000011</v>
      </c>
      <c r="J16" s="53"/>
      <c r="K16" s="53">
        <f>1370966.73-M16</f>
        <v>1155027.42</v>
      </c>
      <c r="L16" s="53"/>
      <c r="M16" s="53">
        <v>215939.31</v>
      </c>
      <c r="N16" s="53"/>
      <c r="O16" s="53">
        <v>3110380.5399999996</v>
      </c>
      <c r="P16" s="53"/>
      <c r="Q16" s="53">
        <v>1165000</v>
      </c>
      <c r="R16" s="53"/>
      <c r="S16" s="53">
        <v>206000</v>
      </c>
      <c r="T16" s="53"/>
      <c r="U16" s="53">
        <v>796000</v>
      </c>
      <c r="V16" s="53"/>
      <c r="W16" s="53">
        <v>2252714.4942328688</v>
      </c>
      <c r="X16" s="53"/>
      <c r="Y16" s="53">
        <v>582000</v>
      </c>
      <c r="Z16" s="53"/>
      <c r="AA16" s="53">
        <v>109000</v>
      </c>
      <c r="AB16" s="53"/>
      <c r="AC16" s="53">
        <v>927751.18446163961</v>
      </c>
      <c r="AD16" s="53"/>
      <c r="AE16" s="53">
        <v>544001.7076067311</v>
      </c>
      <c r="AF16" s="53"/>
    </row>
    <row r="17" spans="2:32">
      <c r="B17" s="24" t="s">
        <v>75</v>
      </c>
      <c r="C17" s="53">
        <f>177278.79-E17</f>
        <v>100611.15000000001</v>
      </c>
      <c r="D17" s="53"/>
      <c r="E17" s="53">
        <v>76667.64</v>
      </c>
      <c r="F17" s="53"/>
      <c r="G17" s="53">
        <v>226851.40000000002</v>
      </c>
      <c r="H17" s="53"/>
      <c r="I17" s="53">
        <v>58028.290000000008</v>
      </c>
      <c r="J17" s="53"/>
      <c r="K17" s="53">
        <f>125862.37-M17</f>
        <v>51688.84</v>
      </c>
      <c r="L17" s="53"/>
      <c r="M17" s="53">
        <v>74173.53</v>
      </c>
      <c r="N17" s="53"/>
      <c r="O17" s="53">
        <v>348821.89</v>
      </c>
      <c r="P17" s="53"/>
      <c r="Q17" s="53">
        <v>107000</v>
      </c>
      <c r="R17" s="53"/>
      <c r="S17" s="53">
        <v>123000</v>
      </c>
      <c r="T17" s="53"/>
      <c r="U17" s="53">
        <v>49000</v>
      </c>
      <c r="V17" s="53"/>
      <c r="W17" s="53">
        <v>298700.8452494152</v>
      </c>
      <c r="X17" s="53"/>
      <c r="Y17" s="53">
        <v>100000</v>
      </c>
      <c r="Z17" s="53"/>
      <c r="AA17" s="53">
        <v>90000</v>
      </c>
      <c r="AB17" s="53"/>
      <c r="AC17" s="53">
        <v>88797.525139949168</v>
      </c>
      <c r="AD17" s="53"/>
      <c r="AE17" s="53">
        <v>64260.906395033504</v>
      </c>
      <c r="AF17" s="53"/>
    </row>
    <row r="18" spans="2:32">
      <c r="B18" s="24" t="s">
        <v>76</v>
      </c>
      <c r="C18" s="53">
        <f>2188511.73-E18</f>
        <v>1100301.48</v>
      </c>
      <c r="D18" s="53"/>
      <c r="E18" s="53">
        <v>1088210.25</v>
      </c>
      <c r="F18" s="53"/>
      <c r="G18" s="53">
        <v>2786853.77</v>
      </c>
      <c r="H18" s="53"/>
      <c r="I18" s="53">
        <v>566215</v>
      </c>
      <c r="J18" s="53"/>
      <c r="K18" s="53">
        <f>1113966.47-M18</f>
        <v>256515.62</v>
      </c>
      <c r="L18" s="53"/>
      <c r="M18" s="53">
        <v>857450.85</v>
      </c>
      <c r="N18" s="53"/>
      <c r="O18" s="53">
        <v>3750408.49</v>
      </c>
      <c r="P18" s="53"/>
      <c r="Q18" s="53">
        <v>932000</v>
      </c>
      <c r="R18" s="53"/>
      <c r="S18" s="53">
        <v>932478.92082620086</v>
      </c>
      <c r="T18" s="53"/>
      <c r="U18" s="53">
        <v>932478.30917379912</v>
      </c>
      <c r="V18" s="53"/>
      <c r="W18" s="53">
        <v>10247.02</v>
      </c>
      <c r="X18" s="53"/>
      <c r="Y18" s="53">
        <v>0</v>
      </c>
      <c r="Z18" s="53"/>
      <c r="AA18" s="53">
        <v>0</v>
      </c>
      <c r="AB18" s="53"/>
      <c r="AC18" s="53">
        <v>0</v>
      </c>
      <c r="AD18" s="53"/>
      <c r="AE18" s="53">
        <v>0</v>
      </c>
      <c r="AF18" s="53"/>
    </row>
    <row r="19" spans="2:32">
      <c r="B19" s="24" t="s">
        <v>77</v>
      </c>
      <c r="C19" s="53">
        <f>-958068.369999999-E19</f>
        <v>-12866.699999999022</v>
      </c>
      <c r="D19" s="53"/>
      <c r="E19" s="53">
        <v>-945201.66999999993</v>
      </c>
      <c r="F19" s="53"/>
      <c r="G19" s="53">
        <v>-7938029.1500000004</v>
      </c>
      <c r="H19" s="53"/>
      <c r="I19" s="53">
        <v>-2047024.3900000006</v>
      </c>
      <c r="J19" s="53"/>
      <c r="K19" s="53">
        <f>-7286574.64-M19</f>
        <v>-413759.78249999881</v>
      </c>
      <c r="L19" s="53"/>
      <c r="M19" s="53">
        <v>-6872814.8575000009</v>
      </c>
      <c r="N19" s="53"/>
      <c r="O19" s="53">
        <v>-338600.80999999982</v>
      </c>
      <c r="P19" s="53"/>
      <c r="Q19" s="53">
        <v>756000</v>
      </c>
      <c r="R19" s="53"/>
      <c r="S19" s="53">
        <v>-490989.80050000024</v>
      </c>
      <c r="T19" s="53"/>
      <c r="U19" s="53">
        <v>-777090.87249999994</v>
      </c>
      <c r="V19" s="53"/>
      <c r="W19" s="53">
        <v>1433343.0499999998</v>
      </c>
      <c r="X19" s="53"/>
      <c r="Y19" s="53">
        <v>-3941000</v>
      </c>
      <c r="Z19" s="53"/>
      <c r="AA19" s="53">
        <v>-302687.52932000009</v>
      </c>
      <c r="AB19" s="53"/>
      <c r="AC19" s="53">
        <v>-1799108.7424999999</v>
      </c>
      <c r="AD19" s="53"/>
      <c r="AE19" s="53">
        <v>-456232.0780000001</v>
      </c>
      <c r="AF19" s="53"/>
    </row>
    <row r="20" spans="2:32">
      <c r="B20" s="24" t="s">
        <v>78</v>
      </c>
      <c r="C20" s="53">
        <f>1841623.79-E20</f>
        <v>1258532.83</v>
      </c>
      <c r="D20" s="53"/>
      <c r="E20" s="53">
        <v>583090.96</v>
      </c>
      <c r="F20" s="53"/>
      <c r="G20" s="53">
        <v>-3190513.709999999</v>
      </c>
      <c r="H20" s="53"/>
      <c r="I20" s="53">
        <v>155102.3600000001</v>
      </c>
      <c r="J20" s="53"/>
      <c r="K20" s="53">
        <f>-2138713.48-M20</f>
        <v>-1718964.7400000007</v>
      </c>
      <c r="L20" s="53"/>
      <c r="M20" s="53">
        <v>-419748.73999999929</v>
      </c>
      <c r="N20" s="53"/>
      <c r="O20" s="53">
        <v>1793520.6399999992</v>
      </c>
      <c r="P20" s="53"/>
      <c r="Q20" s="53">
        <v>-388000</v>
      </c>
      <c r="R20" s="53"/>
      <c r="S20" s="53">
        <v>1005404.43</v>
      </c>
      <c r="T20" s="53"/>
      <c r="U20" s="53">
        <v>-622419.90999999933</v>
      </c>
      <c r="V20" s="53"/>
      <c r="W20" s="53">
        <v>333845.46999999962</v>
      </c>
      <c r="X20" s="53"/>
      <c r="Y20" s="53">
        <v>482000</v>
      </c>
      <c r="Z20" s="53"/>
      <c r="AA20" s="53">
        <v>-955975.17999999993</v>
      </c>
      <c r="AB20" s="53"/>
      <c r="AC20" s="53">
        <v>1314440.17</v>
      </c>
      <c r="AD20" s="53"/>
      <c r="AE20" s="53">
        <v>290558.74</v>
      </c>
      <c r="AF20" s="53"/>
    </row>
    <row r="21" spans="2:32">
      <c r="B21" s="24" t="s">
        <v>69</v>
      </c>
      <c r="C21" s="53">
        <v>0</v>
      </c>
      <c r="D21" s="53"/>
      <c r="E21" s="53">
        <v>0</v>
      </c>
      <c r="F21" s="53"/>
      <c r="G21" s="53">
        <v>-456334</v>
      </c>
      <c r="H21" s="53"/>
      <c r="I21" s="53">
        <v>0</v>
      </c>
      <c r="J21" s="53"/>
      <c r="K21" s="53">
        <f>-M21</f>
        <v>-236672</v>
      </c>
      <c r="L21" s="53"/>
      <c r="M21" s="53">
        <v>236672</v>
      </c>
      <c r="N21" s="53"/>
      <c r="O21" s="53">
        <v>236672</v>
      </c>
      <c r="P21" s="53"/>
      <c r="Q21" s="53">
        <v>0</v>
      </c>
      <c r="R21" s="53"/>
      <c r="S21" s="53">
        <v>0</v>
      </c>
      <c r="T21" s="53"/>
      <c r="U21" s="53">
        <v>0</v>
      </c>
      <c r="V21" s="53"/>
      <c r="W21" s="53">
        <v>208219</v>
      </c>
      <c r="X21" s="53"/>
      <c r="Y21" s="53">
        <v>0</v>
      </c>
      <c r="Z21" s="53"/>
      <c r="AA21" s="53">
        <v>0</v>
      </c>
      <c r="AB21" s="53"/>
      <c r="AC21" s="53">
        <v>65798</v>
      </c>
      <c r="AD21" s="53"/>
      <c r="AE21" s="53">
        <v>43462</v>
      </c>
      <c r="AF21" s="53"/>
    </row>
    <row r="22" spans="2:32">
      <c r="B22" s="24" t="s">
        <v>79</v>
      </c>
      <c r="C22" s="53">
        <v>0</v>
      </c>
      <c r="D22" s="53"/>
      <c r="E22" s="53">
        <v>0</v>
      </c>
      <c r="F22" s="53"/>
      <c r="G22" s="53">
        <v>0</v>
      </c>
      <c r="H22" s="53"/>
      <c r="I22" s="53">
        <v>0</v>
      </c>
      <c r="J22" s="53"/>
      <c r="K22" s="53">
        <f>-M22</f>
        <v>-94476.92</v>
      </c>
      <c r="L22" s="53"/>
      <c r="M22" s="53">
        <v>94476.92</v>
      </c>
      <c r="N22" s="53"/>
      <c r="O22" s="53">
        <v>91109.45</v>
      </c>
      <c r="P22" s="53"/>
      <c r="Q22" s="53">
        <v>0</v>
      </c>
      <c r="R22" s="53"/>
      <c r="S22" s="53">
        <v>3369.7500000000105</v>
      </c>
      <c r="T22" s="53"/>
      <c r="U22" s="53">
        <v>-3369.7500000000105</v>
      </c>
      <c r="V22" s="53"/>
      <c r="W22" s="53">
        <v>-91109.45</v>
      </c>
      <c r="X22" s="53"/>
      <c r="Y22" s="53">
        <v>0</v>
      </c>
      <c r="Z22" s="53"/>
      <c r="AA22" s="53">
        <v>0</v>
      </c>
      <c r="AB22" s="53"/>
      <c r="AC22" s="53">
        <v>29910.760000000002</v>
      </c>
      <c r="AD22" s="53"/>
      <c r="AE22" s="53">
        <v>-908.77000000000044</v>
      </c>
      <c r="AF22" s="53"/>
    </row>
    <row r="23" spans="2:32">
      <c r="B23" s="24" t="s">
        <v>80</v>
      </c>
      <c r="C23" s="53">
        <f>333929.31-E23</f>
        <v>216220.05</v>
      </c>
      <c r="D23" s="53"/>
      <c r="E23" s="53">
        <v>117709.26000000001</v>
      </c>
      <c r="F23" s="53"/>
      <c r="G23" s="53">
        <v>1933600.1</v>
      </c>
      <c r="H23" s="53"/>
      <c r="I23" s="53">
        <v>-227455.85000000009</v>
      </c>
      <c r="J23" s="53"/>
      <c r="K23" s="53">
        <f>1873829.45-M23</f>
        <v>2049391.54</v>
      </c>
      <c r="L23" s="53"/>
      <c r="M23" s="53">
        <v>-175562.08999999997</v>
      </c>
      <c r="N23" s="53"/>
      <c r="O23" s="53">
        <v>-2641382.69</v>
      </c>
      <c r="P23" s="53"/>
      <c r="Q23" s="53">
        <v>-31000</v>
      </c>
      <c r="R23" s="53"/>
      <c r="S23" s="53">
        <v>-3631.4800000000032</v>
      </c>
      <c r="T23" s="53"/>
      <c r="U23" s="53">
        <v>47869.429999999986</v>
      </c>
      <c r="V23" s="53"/>
      <c r="W23" s="53">
        <v>-43911.409999999989</v>
      </c>
      <c r="X23" s="53"/>
      <c r="Y23" s="53">
        <v>10000</v>
      </c>
      <c r="Z23" s="53"/>
      <c r="AA23" s="53">
        <v>-3815.0700000000302</v>
      </c>
      <c r="AB23" s="53"/>
      <c r="AC23" s="53">
        <v>-40436.230000000003</v>
      </c>
      <c r="AD23" s="53"/>
      <c r="AE23" s="53">
        <v>45680.97</v>
      </c>
      <c r="AF23" s="53"/>
    </row>
    <row r="24" spans="2:32">
      <c r="B24" s="24" t="s">
        <v>81</v>
      </c>
      <c r="C24" s="53">
        <f>4564048.22-E24</f>
        <v>-2156115.5100000007</v>
      </c>
      <c r="D24" s="53"/>
      <c r="E24" s="53">
        <v>6720163.7300000004</v>
      </c>
      <c r="F24" s="53"/>
      <c r="G24" s="53">
        <v>-8586800.6600000001</v>
      </c>
      <c r="H24" s="53"/>
      <c r="I24" s="53">
        <v>-1329596</v>
      </c>
      <c r="J24" s="53"/>
      <c r="K24" s="53">
        <f>-348642.91-M24</f>
        <v>1518250.9142556882</v>
      </c>
      <c r="L24" s="53"/>
      <c r="M24" s="53">
        <v>-1866893.8242556881</v>
      </c>
      <c r="N24" s="53"/>
      <c r="O24" s="53">
        <v>4199455.0699999994</v>
      </c>
      <c r="P24" s="53"/>
      <c r="Q24" s="53">
        <v>-1393000</v>
      </c>
      <c r="R24" s="53"/>
      <c r="S24" s="53">
        <v>4416806.6528871637</v>
      </c>
      <c r="T24" s="53"/>
      <c r="U24" s="53">
        <v>-2461658.5953871673</v>
      </c>
      <c r="V24" s="53"/>
      <c r="W24" s="53">
        <v>6693622.3196428576</v>
      </c>
      <c r="X24" s="53"/>
      <c r="Y24" s="53">
        <v>2348000</v>
      </c>
      <c r="Z24" s="53"/>
      <c r="AA24" s="53">
        <v>-294770.04750000016</v>
      </c>
      <c r="AB24" s="53"/>
      <c r="AC24" s="53">
        <v>1143680.8899999999</v>
      </c>
      <c r="AD24" s="53"/>
      <c r="AE24" s="53">
        <v>-146693</v>
      </c>
      <c r="AF24" s="53"/>
    </row>
    <row r="25" spans="2:32">
      <c r="B25" s="24" t="s">
        <v>82</v>
      </c>
      <c r="C25" s="53">
        <v>0</v>
      </c>
      <c r="D25" s="53"/>
      <c r="E25" s="53">
        <v>0</v>
      </c>
      <c r="F25" s="53"/>
      <c r="G25" s="53">
        <v>0</v>
      </c>
      <c r="H25" s="53"/>
      <c r="I25" s="53">
        <v>0</v>
      </c>
      <c r="J25" s="53"/>
      <c r="K25" s="53">
        <v>0</v>
      </c>
      <c r="L25" s="53"/>
      <c r="M25" s="53">
        <v>0</v>
      </c>
      <c r="N25" s="53"/>
      <c r="O25" s="53">
        <v>0</v>
      </c>
      <c r="P25" s="53"/>
      <c r="Q25" s="53">
        <v>0</v>
      </c>
      <c r="R25" s="53"/>
      <c r="S25" s="53">
        <v>0</v>
      </c>
      <c r="T25" s="53"/>
      <c r="U25" s="53">
        <v>0</v>
      </c>
      <c r="V25" s="53"/>
      <c r="W25" s="53">
        <v>0</v>
      </c>
      <c r="X25" s="53"/>
      <c r="Y25" s="53">
        <v>0</v>
      </c>
      <c r="Z25" s="53"/>
      <c r="AA25" s="53">
        <v>0</v>
      </c>
      <c r="AB25" s="53"/>
      <c r="AC25" s="53">
        <v>0</v>
      </c>
      <c r="AD25" s="53"/>
      <c r="AE25" s="53">
        <v>4027.9999999999995</v>
      </c>
      <c r="AF25" s="53"/>
    </row>
    <row r="26" spans="2:32">
      <c r="B26" s="24" t="s">
        <v>83</v>
      </c>
      <c r="C26" s="53">
        <f>856230.92-E26</f>
        <v>3128.9000000000233</v>
      </c>
      <c r="D26" s="53"/>
      <c r="E26" s="53">
        <v>853102.02</v>
      </c>
      <c r="F26" s="53"/>
      <c r="G26" s="54">
        <v>34073.47</v>
      </c>
      <c r="H26" s="53"/>
      <c r="I26" s="53">
        <v>23063.280000000002</v>
      </c>
      <c r="J26" s="53"/>
      <c r="K26" s="53">
        <v>18981.439999999999</v>
      </c>
      <c r="L26" s="53"/>
      <c r="M26" s="54">
        <v>0</v>
      </c>
      <c r="N26" s="53"/>
      <c r="O26" s="54">
        <v>-147443.4</v>
      </c>
      <c r="P26" s="53"/>
      <c r="Q26" s="53">
        <v>0</v>
      </c>
      <c r="R26" s="53"/>
      <c r="S26" s="53">
        <v>0</v>
      </c>
      <c r="T26" s="53"/>
      <c r="U26" s="54">
        <v>0</v>
      </c>
      <c r="V26" s="53"/>
      <c r="W26" s="53">
        <v>13875</v>
      </c>
      <c r="X26" s="53"/>
      <c r="Y26" s="53">
        <v>0</v>
      </c>
      <c r="Z26" s="53"/>
      <c r="AA26" s="53">
        <v>0</v>
      </c>
      <c r="AB26" s="53"/>
      <c r="AC26" s="53">
        <v>0</v>
      </c>
      <c r="AD26" s="53"/>
      <c r="AE26" s="53">
        <v>0</v>
      </c>
      <c r="AF26" s="53"/>
    </row>
    <row r="27" spans="2:32">
      <c r="B27" s="23" t="s">
        <v>84</v>
      </c>
      <c r="C27" s="55">
        <f>SUM(C14:C15)</f>
        <v>-4565768.83</v>
      </c>
      <c r="D27" s="56"/>
      <c r="E27" s="55">
        <f>SUM(E14:E15)</f>
        <v>2758111.5900000008</v>
      </c>
      <c r="F27" s="56"/>
      <c r="G27" s="55">
        <f>SUM(G14:G15)</f>
        <v>-24035195.369999997</v>
      </c>
      <c r="H27" s="56"/>
      <c r="I27" s="55">
        <f>SUM(I14:I15)</f>
        <v>-6412612.4399999995</v>
      </c>
      <c r="J27" s="56"/>
      <c r="K27" s="55">
        <f>SUM(K14:K15)</f>
        <v>-1077935.3382443115</v>
      </c>
      <c r="L27" s="56"/>
      <c r="M27" s="55">
        <f>SUM(M14:M15)</f>
        <v>-10988694.491755687</v>
      </c>
      <c r="N27" s="56"/>
      <c r="O27" s="55">
        <f>SUM(O14:O15)</f>
        <v>-1352647.7299999986</v>
      </c>
      <c r="P27" s="56"/>
      <c r="Q27" s="55">
        <f>SUM(Q14:Q15)</f>
        <v>-1493000</v>
      </c>
      <c r="R27" s="56"/>
      <c r="S27" s="55">
        <f>SUM(S14:S15)</f>
        <v>3558378.7875219923</v>
      </c>
      <c r="T27" s="56"/>
      <c r="U27" s="55">
        <f>SUM(U14:U15)</f>
        <v>-4150623.3928871602</v>
      </c>
      <c r="V27" s="56"/>
      <c r="W27" s="55">
        <f>SUM(W14:W15)</f>
        <v>6914200.1871513622</v>
      </c>
      <c r="X27" s="56"/>
      <c r="Y27" s="55">
        <f>SUM(Y14:Y15)</f>
        <v>-1180000</v>
      </c>
      <c r="Z27" s="56"/>
      <c r="AA27" s="55">
        <f>SUM(AA14:AA15)</f>
        <v>-2621205.7368457485</v>
      </c>
      <c r="AB27" s="56"/>
      <c r="AC27" s="55">
        <f>SUM(AC14:AC15)</f>
        <v>-1350959.580334601</v>
      </c>
      <c r="AD27" s="56"/>
      <c r="AE27" s="55">
        <f>SUM(AE14:AE15)</f>
        <v>-8663.7520819905913</v>
      </c>
      <c r="AF27" s="56"/>
    </row>
    <row r="28" spans="2:32" ht="13.5" thickBot="1">
      <c r="B28" s="2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2:32" ht="13.5" thickBot="1">
      <c r="B29" s="33" t="s">
        <v>85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2:32">
      <c r="B30" s="23" t="s">
        <v>86</v>
      </c>
      <c r="C30" s="52">
        <f t="shared" ref="C30:G30" si="15">SUM(C31)</f>
        <v>50325.199999999255</v>
      </c>
      <c r="D30" s="52"/>
      <c r="E30" s="52">
        <f t="shared" si="15"/>
        <v>25933943.32</v>
      </c>
      <c r="F30" s="52"/>
      <c r="G30" s="52">
        <f t="shared" si="15"/>
        <v>8250953.0499999998</v>
      </c>
      <c r="H30" s="52"/>
      <c r="I30" s="52">
        <f t="shared" ref="I30:AE30" si="16">SUM(I31)</f>
        <v>0</v>
      </c>
      <c r="J30" s="52"/>
      <c r="K30" s="52">
        <f t="shared" si="16"/>
        <v>0</v>
      </c>
      <c r="L30" s="52"/>
      <c r="M30" s="52">
        <f t="shared" si="16"/>
        <v>0</v>
      </c>
      <c r="N30" s="52"/>
      <c r="O30" s="52">
        <f t="shared" si="16"/>
        <v>0</v>
      </c>
      <c r="P30" s="52"/>
      <c r="Q30" s="52">
        <f t="shared" si="16"/>
        <v>0</v>
      </c>
      <c r="R30" s="52"/>
      <c r="S30" s="52">
        <f t="shared" si="16"/>
        <v>0</v>
      </c>
      <c r="T30" s="52"/>
      <c r="U30" s="52">
        <f t="shared" si="16"/>
        <v>0</v>
      </c>
      <c r="V30" s="52"/>
      <c r="W30" s="52">
        <f t="shared" si="16"/>
        <v>0</v>
      </c>
      <c r="X30" s="52"/>
      <c r="Y30" s="52">
        <f t="shared" si="16"/>
        <v>0</v>
      </c>
      <c r="Z30" s="52"/>
      <c r="AA30" s="52">
        <f t="shared" si="16"/>
        <v>0</v>
      </c>
      <c r="AB30" s="52"/>
      <c r="AC30" s="52">
        <f t="shared" si="16"/>
        <v>0</v>
      </c>
      <c r="AD30" s="52"/>
      <c r="AE30" s="52">
        <f t="shared" si="16"/>
        <v>0</v>
      </c>
      <c r="AF30" s="52"/>
    </row>
    <row r="31" spans="2:32">
      <c r="B31" s="24" t="s">
        <v>87</v>
      </c>
      <c r="C31" s="53">
        <f>25984268.52-E31</f>
        <v>50325.199999999255</v>
      </c>
      <c r="D31" s="53"/>
      <c r="E31" s="53">
        <v>25933943.32</v>
      </c>
      <c r="F31" s="53"/>
      <c r="G31" s="53">
        <v>8250953.0499999998</v>
      </c>
      <c r="H31" s="53"/>
      <c r="I31" s="53">
        <v>0</v>
      </c>
      <c r="J31" s="53"/>
      <c r="K31" s="53">
        <v>0</v>
      </c>
      <c r="L31" s="53"/>
      <c r="M31" s="53">
        <v>0</v>
      </c>
      <c r="N31" s="53"/>
      <c r="O31" s="53">
        <v>0</v>
      </c>
      <c r="P31" s="53"/>
      <c r="Q31" s="53">
        <v>0</v>
      </c>
      <c r="R31" s="53"/>
      <c r="S31" s="53">
        <v>0</v>
      </c>
      <c r="T31" s="53"/>
      <c r="U31" s="53">
        <v>0</v>
      </c>
      <c r="V31" s="53"/>
      <c r="W31" s="53">
        <v>0</v>
      </c>
      <c r="X31" s="53"/>
      <c r="Y31" s="53">
        <v>0</v>
      </c>
      <c r="Z31" s="53"/>
      <c r="AA31" s="53">
        <v>0</v>
      </c>
      <c r="AB31" s="53"/>
      <c r="AC31" s="53">
        <v>0</v>
      </c>
      <c r="AD31" s="53"/>
      <c r="AE31" s="53">
        <v>0</v>
      </c>
      <c r="AF31" s="53"/>
    </row>
    <row r="32" spans="2:32">
      <c r="B32" s="23" t="s">
        <v>88</v>
      </c>
      <c r="C32" s="52">
        <f>SUM(C33:C33)</f>
        <v>758941.14000000013</v>
      </c>
      <c r="D32" s="52"/>
      <c r="E32" s="52">
        <f>SUM(E33:E33)</f>
        <v>1570447.9</v>
      </c>
      <c r="F32" s="52"/>
      <c r="G32" s="52">
        <f>SUM(G33:G33)</f>
        <v>36729158.670000002</v>
      </c>
      <c r="H32" s="52"/>
      <c r="I32" s="52">
        <f>SUM(I33:I33)</f>
        <v>270131.04000000004</v>
      </c>
      <c r="J32" s="52"/>
      <c r="K32" s="52">
        <f>SUM(K33:K33)</f>
        <v>231190.53999999998</v>
      </c>
      <c r="L32" s="52"/>
      <c r="M32" s="52">
        <f>SUM(M33:M33)</f>
        <v>84783.33</v>
      </c>
      <c r="N32" s="52"/>
      <c r="O32" s="52">
        <f>SUM(O33:O33)</f>
        <v>561306.19999999995</v>
      </c>
      <c r="P32" s="52"/>
      <c r="Q32" s="52">
        <f>SUM(Q33:Q33)</f>
        <v>640000</v>
      </c>
      <c r="R32" s="52"/>
      <c r="S32" s="52">
        <f>SUM(S33:S33)</f>
        <v>0</v>
      </c>
      <c r="T32" s="52"/>
      <c r="U32" s="52">
        <f>SUM(U33:U33)</f>
        <v>0</v>
      </c>
      <c r="V32" s="52"/>
      <c r="W32" s="52">
        <f>SUM(W33:W33)</f>
        <v>274929.47000000003</v>
      </c>
      <c r="X32" s="52"/>
      <c r="Y32" s="52">
        <f>SUM(Y33:Y33)</f>
        <v>0</v>
      </c>
      <c r="Z32" s="52"/>
      <c r="AA32" s="52">
        <f>SUM(AA33:AA33)</f>
        <v>160000</v>
      </c>
      <c r="AB32" s="52"/>
      <c r="AC32" s="52">
        <f>SUM(AC33:AC33)</f>
        <v>428735.94999999995</v>
      </c>
      <c r="AD32" s="52"/>
      <c r="AE32" s="52">
        <f>SUM(AE33:AE33)</f>
        <v>0</v>
      </c>
      <c r="AF32" s="52"/>
    </row>
    <row r="33" spans="2:32">
      <c r="B33" s="24" t="s">
        <v>128</v>
      </c>
      <c r="C33" s="53">
        <f>2329389.04-E33</f>
        <v>758941.14000000013</v>
      </c>
      <c r="D33" s="53"/>
      <c r="E33" s="53">
        <v>1570447.9</v>
      </c>
      <c r="F33" s="53"/>
      <c r="G33" s="53">
        <v>36729158.670000002</v>
      </c>
      <c r="H33" s="53"/>
      <c r="I33" s="53">
        <v>270131.04000000004</v>
      </c>
      <c r="J33" s="53"/>
      <c r="K33" s="53">
        <f>315973.87-M33</f>
        <v>231190.53999999998</v>
      </c>
      <c r="L33" s="53"/>
      <c r="M33" s="53">
        <v>84783.33</v>
      </c>
      <c r="N33" s="53"/>
      <c r="O33" s="53">
        <v>561306.19999999995</v>
      </c>
      <c r="P33" s="53"/>
      <c r="Q33" s="53">
        <v>640000</v>
      </c>
      <c r="R33" s="53"/>
      <c r="S33" s="53">
        <v>0</v>
      </c>
      <c r="T33" s="53"/>
      <c r="U33" s="53">
        <v>0</v>
      </c>
      <c r="V33" s="53"/>
      <c r="W33" s="53">
        <v>274929.47000000003</v>
      </c>
      <c r="X33" s="53"/>
      <c r="Y33" s="53">
        <v>0</v>
      </c>
      <c r="Z33" s="53"/>
      <c r="AA33" s="53">
        <v>160000</v>
      </c>
      <c r="AB33" s="53"/>
      <c r="AC33" s="53">
        <v>428735.94999999995</v>
      </c>
      <c r="AD33" s="53"/>
      <c r="AE33" s="53">
        <v>0</v>
      </c>
      <c r="AF33" s="53"/>
    </row>
    <row r="34" spans="2:32">
      <c r="B34" s="23" t="s">
        <v>89</v>
      </c>
      <c r="C34" s="55">
        <f t="shared" ref="C34:W34" si="17">C30-C32</f>
        <v>-708615.94000000088</v>
      </c>
      <c r="D34" s="56"/>
      <c r="E34" s="55">
        <f t="shared" si="17"/>
        <v>24363495.420000002</v>
      </c>
      <c r="F34" s="56"/>
      <c r="G34" s="55">
        <f t="shared" si="17"/>
        <v>-28478205.620000001</v>
      </c>
      <c r="H34" s="56"/>
      <c r="I34" s="55">
        <f t="shared" si="17"/>
        <v>-270131.04000000004</v>
      </c>
      <c r="J34" s="56"/>
      <c r="K34" s="55">
        <f t="shared" si="17"/>
        <v>-231190.53999999998</v>
      </c>
      <c r="L34" s="56"/>
      <c r="M34" s="55">
        <f t="shared" si="17"/>
        <v>-84783.33</v>
      </c>
      <c r="N34" s="56"/>
      <c r="O34" s="55">
        <f t="shared" si="17"/>
        <v>-561306.19999999995</v>
      </c>
      <c r="P34" s="56"/>
      <c r="Q34" s="55">
        <f t="shared" si="17"/>
        <v>-640000</v>
      </c>
      <c r="R34" s="56"/>
      <c r="S34" s="55">
        <f t="shared" si="17"/>
        <v>0</v>
      </c>
      <c r="T34" s="56"/>
      <c r="U34" s="55">
        <f t="shared" si="17"/>
        <v>0</v>
      </c>
      <c r="V34" s="56"/>
      <c r="W34" s="55">
        <f t="shared" si="17"/>
        <v>-274929.47000000003</v>
      </c>
      <c r="X34" s="56"/>
      <c r="Y34" s="55">
        <f t="shared" ref="Y34" si="18">Y30-Y32</f>
        <v>0</v>
      </c>
      <c r="Z34" s="56"/>
      <c r="AA34" s="55">
        <f t="shared" ref="AA34" si="19">AA30-AA32</f>
        <v>-160000</v>
      </c>
      <c r="AB34" s="56"/>
      <c r="AC34" s="55">
        <f t="shared" ref="AC34" si="20">AC30-AC32</f>
        <v>-428735.94999999995</v>
      </c>
      <c r="AD34" s="56"/>
      <c r="AE34" s="55">
        <f t="shared" ref="AE34" si="21">AE30-AE32</f>
        <v>0</v>
      </c>
      <c r="AF34" s="56"/>
    </row>
    <row r="35" spans="2:32" ht="13.5" thickBot="1">
      <c r="B35" s="2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2:32" ht="13.5" thickBot="1">
      <c r="B36" s="33" t="s">
        <v>90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2:32">
      <c r="B37" s="23" t="s">
        <v>86</v>
      </c>
      <c r="C37" s="52">
        <f t="shared" ref="C37:W37" si="22">SUM(C38:C39)</f>
        <v>0</v>
      </c>
      <c r="D37" s="52"/>
      <c r="E37" s="52">
        <f t="shared" si="22"/>
        <v>0</v>
      </c>
      <c r="F37" s="52"/>
      <c r="G37" s="52">
        <f t="shared" si="22"/>
        <v>52110000</v>
      </c>
      <c r="H37" s="52"/>
      <c r="I37" s="52">
        <f t="shared" si="22"/>
        <v>0</v>
      </c>
      <c r="J37" s="52"/>
      <c r="K37" s="52">
        <f t="shared" si="22"/>
        <v>-1890000</v>
      </c>
      <c r="L37" s="52"/>
      <c r="M37" s="52">
        <f t="shared" si="22"/>
        <v>54000000</v>
      </c>
      <c r="N37" s="52"/>
      <c r="O37" s="52">
        <f t="shared" si="22"/>
        <v>0</v>
      </c>
      <c r="P37" s="52"/>
      <c r="Q37" s="52">
        <f t="shared" si="22"/>
        <v>0</v>
      </c>
      <c r="R37" s="52"/>
      <c r="S37" s="52">
        <f t="shared" si="22"/>
        <v>0</v>
      </c>
      <c r="T37" s="52"/>
      <c r="U37" s="52">
        <f t="shared" si="22"/>
        <v>0</v>
      </c>
      <c r="V37" s="52"/>
      <c r="W37" s="52">
        <f t="shared" si="22"/>
        <v>9540198</v>
      </c>
      <c r="X37" s="52"/>
      <c r="Y37" s="52">
        <f t="shared" ref="Y37" si="23">SUM(Y38:Y39)</f>
        <v>0</v>
      </c>
      <c r="Z37" s="52"/>
      <c r="AA37" s="52">
        <f t="shared" ref="AA37" si="24">SUM(AA38:AA39)</f>
        <v>9540198</v>
      </c>
      <c r="AB37" s="52"/>
      <c r="AC37" s="52">
        <f t="shared" ref="AC37" si="25">SUM(AC38:AC39)</f>
        <v>3010232.27</v>
      </c>
      <c r="AD37" s="52"/>
      <c r="AE37" s="52">
        <f t="shared" ref="AE37" si="26">SUM(AE38:AE39)</f>
        <v>465797.82</v>
      </c>
      <c r="AF37" s="52"/>
    </row>
    <row r="38" spans="2:32">
      <c r="B38" s="24" t="s">
        <v>91</v>
      </c>
      <c r="C38" s="53">
        <v>0</v>
      </c>
      <c r="D38" s="53"/>
      <c r="E38" s="53">
        <v>0</v>
      </c>
      <c r="F38" s="53"/>
      <c r="G38" s="53">
        <v>52110000</v>
      </c>
      <c r="H38" s="53"/>
      <c r="I38" s="53">
        <v>0</v>
      </c>
      <c r="J38" s="53"/>
      <c r="K38" s="53">
        <f>52110000-M38</f>
        <v>-1890000</v>
      </c>
      <c r="L38" s="53"/>
      <c r="M38" s="53">
        <v>54000000</v>
      </c>
      <c r="N38" s="53"/>
      <c r="O38" s="53" t="s">
        <v>119</v>
      </c>
      <c r="P38" s="53"/>
      <c r="Q38" s="53">
        <v>0</v>
      </c>
      <c r="R38" s="53"/>
      <c r="S38" s="53">
        <v>0</v>
      </c>
      <c r="T38" s="53"/>
      <c r="U38" s="53">
        <v>0</v>
      </c>
      <c r="V38" s="53"/>
      <c r="W38" s="53">
        <v>9540198</v>
      </c>
      <c r="X38" s="53"/>
      <c r="Y38" s="53">
        <v>0</v>
      </c>
      <c r="Z38" s="53"/>
      <c r="AA38" s="53">
        <v>9540198</v>
      </c>
      <c r="AB38" s="53"/>
      <c r="AC38" s="53">
        <v>2610232.27</v>
      </c>
      <c r="AD38" s="53"/>
      <c r="AE38" s="53">
        <v>310800</v>
      </c>
      <c r="AF38" s="53"/>
    </row>
    <row r="39" spans="2:32">
      <c r="B39" s="24" t="s">
        <v>92</v>
      </c>
      <c r="C39" s="53">
        <v>0</v>
      </c>
      <c r="D39" s="53"/>
      <c r="E39" s="53">
        <v>0</v>
      </c>
      <c r="F39" s="53"/>
      <c r="G39" s="53">
        <v>0</v>
      </c>
      <c r="H39" s="53"/>
      <c r="I39" s="53">
        <v>0</v>
      </c>
      <c r="J39" s="53"/>
      <c r="K39" s="53">
        <v>0</v>
      </c>
      <c r="L39" s="53"/>
      <c r="M39" s="53">
        <v>0</v>
      </c>
      <c r="N39" s="53"/>
      <c r="O39" s="53">
        <v>0</v>
      </c>
      <c r="P39" s="53"/>
      <c r="Q39" s="53">
        <v>0</v>
      </c>
      <c r="R39" s="53"/>
      <c r="S39" s="53">
        <v>0</v>
      </c>
      <c r="T39" s="53"/>
      <c r="U39" s="53">
        <v>0</v>
      </c>
      <c r="V39" s="53"/>
      <c r="W39" s="53">
        <v>0</v>
      </c>
      <c r="X39" s="53"/>
      <c r="Y39" s="53">
        <v>0</v>
      </c>
      <c r="Z39" s="53"/>
      <c r="AA39" s="53">
        <v>0</v>
      </c>
      <c r="AB39" s="53"/>
      <c r="AC39" s="53">
        <v>400000</v>
      </c>
      <c r="AD39" s="53"/>
      <c r="AE39" s="53">
        <v>154997.82</v>
      </c>
      <c r="AF39" s="53"/>
    </row>
    <row r="40" spans="2:32">
      <c r="B40" s="23" t="s">
        <v>88</v>
      </c>
      <c r="C40" s="52">
        <f>SUM(C41:C43)</f>
        <v>531936.15</v>
      </c>
      <c r="D40" s="52"/>
      <c r="E40" s="52">
        <f>SUM(E41:E43)</f>
        <v>571141.93999999994</v>
      </c>
      <c r="F40" s="52"/>
      <c r="G40" s="52">
        <f>SUM(G41:G43)</f>
        <v>2374687.85</v>
      </c>
      <c r="H40" s="52"/>
      <c r="I40" s="52">
        <f>SUM(I41:I43)</f>
        <v>689593.1399999999</v>
      </c>
      <c r="J40" s="52"/>
      <c r="K40" s="52">
        <f>SUM(K41:K43)</f>
        <v>1833959.6700000002</v>
      </c>
      <c r="L40" s="52"/>
      <c r="M40" s="52">
        <f>SUM(M41:M43)</f>
        <v>283653.06</v>
      </c>
      <c r="N40" s="52"/>
      <c r="O40" s="52">
        <f>SUM(O41:O43)</f>
        <v>3051316.44</v>
      </c>
      <c r="P40" s="52"/>
      <c r="Q40" s="52">
        <f>SUM(Q41:Q43)</f>
        <v>634000</v>
      </c>
      <c r="R40" s="52"/>
      <c r="S40" s="52">
        <f>SUM(S41:S43)</f>
        <v>1063000</v>
      </c>
      <c r="T40" s="52"/>
      <c r="U40" s="52">
        <f>SUM(U41:U43)</f>
        <v>514095.78463482967</v>
      </c>
      <c r="V40" s="52"/>
      <c r="W40" s="52">
        <f>SUM(W41:W43)</f>
        <v>2457854.8999999985</v>
      </c>
      <c r="X40" s="52"/>
      <c r="Y40" s="52">
        <f>SUM(Y41:Y43)</f>
        <v>826000</v>
      </c>
      <c r="Z40" s="52"/>
      <c r="AA40" s="52">
        <f>SUM(AA41:AA43)</f>
        <v>435000</v>
      </c>
      <c r="AB40" s="52"/>
      <c r="AC40" s="52">
        <f>SUM(AC41:AC43)</f>
        <v>1298032.9773499933</v>
      </c>
      <c r="AD40" s="52"/>
      <c r="AE40" s="52">
        <f>SUM(AE41:AE43)</f>
        <v>409603.17920000054</v>
      </c>
      <c r="AF40" s="52"/>
    </row>
    <row r="41" spans="2:32">
      <c r="B41" s="25" t="s">
        <v>93</v>
      </c>
      <c r="C41" s="53">
        <v>0</v>
      </c>
      <c r="D41" s="53"/>
      <c r="E41" s="53" t="s">
        <v>119</v>
      </c>
      <c r="F41" s="53"/>
      <c r="G41" s="53">
        <v>0</v>
      </c>
      <c r="H41" s="53"/>
      <c r="I41" s="53">
        <v>0</v>
      </c>
      <c r="J41" s="53"/>
      <c r="K41" s="53">
        <v>0</v>
      </c>
      <c r="L41" s="53"/>
      <c r="M41" s="53" t="s">
        <v>119</v>
      </c>
      <c r="N41" s="53"/>
      <c r="O41" s="53" t="s">
        <v>119</v>
      </c>
      <c r="P41" s="53"/>
      <c r="Q41" s="53">
        <v>0</v>
      </c>
      <c r="R41" s="53"/>
      <c r="S41" s="53">
        <v>0</v>
      </c>
      <c r="T41" s="53"/>
      <c r="U41" s="53">
        <v>0</v>
      </c>
      <c r="V41" s="53"/>
      <c r="W41" s="53">
        <v>93835.18</v>
      </c>
      <c r="X41" s="53"/>
      <c r="Y41" s="53">
        <v>0</v>
      </c>
      <c r="Z41" s="53"/>
      <c r="AA41" s="53">
        <v>0</v>
      </c>
      <c r="AB41" s="53"/>
      <c r="AC41" s="53">
        <v>461162.64</v>
      </c>
      <c r="AD41" s="53"/>
      <c r="AE41" s="53">
        <v>0</v>
      </c>
      <c r="AF41" s="53"/>
    </row>
    <row r="42" spans="2:32">
      <c r="B42" s="25" t="s">
        <v>94</v>
      </c>
      <c r="C42" s="53">
        <f>177278.79-E42</f>
        <v>100611.15000000001</v>
      </c>
      <c r="D42" s="53"/>
      <c r="E42" s="53">
        <v>76667.64</v>
      </c>
      <c r="F42" s="53"/>
      <c r="G42" s="53">
        <v>226851.40000000002</v>
      </c>
      <c r="H42" s="53"/>
      <c r="I42" s="53">
        <v>58028.290000000008</v>
      </c>
      <c r="J42" s="53"/>
      <c r="K42" s="53">
        <f>125862.37-M42</f>
        <v>51688.84</v>
      </c>
      <c r="L42" s="53"/>
      <c r="M42" s="53">
        <v>74173.53</v>
      </c>
      <c r="N42" s="53"/>
      <c r="O42" s="53">
        <v>348821.89</v>
      </c>
      <c r="P42" s="53"/>
      <c r="Q42" s="53">
        <v>107000</v>
      </c>
      <c r="R42" s="53"/>
      <c r="S42" s="53">
        <v>123000</v>
      </c>
      <c r="T42" s="53"/>
      <c r="U42" s="53">
        <v>49000</v>
      </c>
      <c r="V42" s="53"/>
      <c r="W42" s="53">
        <v>298700.84173300787</v>
      </c>
      <c r="X42" s="53"/>
      <c r="Y42" s="53">
        <v>100000</v>
      </c>
      <c r="Z42" s="53"/>
      <c r="AA42" s="53">
        <v>90000</v>
      </c>
      <c r="AB42" s="53"/>
      <c r="AC42" s="53">
        <v>88797.525139949168</v>
      </c>
      <c r="AD42" s="53"/>
      <c r="AE42" s="53">
        <v>64260.906395033504</v>
      </c>
      <c r="AF42" s="53"/>
    </row>
    <row r="43" spans="2:32">
      <c r="B43" s="25" t="s">
        <v>95</v>
      </c>
      <c r="C43" s="53">
        <f>925799.3-E43</f>
        <v>431325.00000000006</v>
      </c>
      <c r="D43" s="53"/>
      <c r="E43" s="53">
        <v>494474.3</v>
      </c>
      <c r="F43" s="53"/>
      <c r="G43" s="54">
        <v>2147836.4500000002</v>
      </c>
      <c r="H43" s="53"/>
      <c r="I43" s="53">
        <v>631564.84999999986</v>
      </c>
      <c r="J43" s="53"/>
      <c r="K43" s="54">
        <f>1991750.36-M43</f>
        <v>1782270.83</v>
      </c>
      <c r="L43" s="53"/>
      <c r="M43" s="54">
        <v>209479.53</v>
      </c>
      <c r="N43" s="53"/>
      <c r="O43" s="54">
        <v>2702494.55</v>
      </c>
      <c r="P43" s="53"/>
      <c r="Q43" s="53">
        <v>527000</v>
      </c>
      <c r="R43" s="53"/>
      <c r="S43" s="54">
        <v>940000</v>
      </c>
      <c r="T43" s="53"/>
      <c r="U43" s="54">
        <v>465095.78463482967</v>
      </c>
      <c r="V43" s="53"/>
      <c r="W43" s="53">
        <v>2065318.8782669904</v>
      </c>
      <c r="X43" s="53"/>
      <c r="Y43" s="53">
        <v>726000</v>
      </c>
      <c r="Z43" s="53"/>
      <c r="AA43" s="54">
        <v>345000</v>
      </c>
      <c r="AB43" s="53"/>
      <c r="AC43" s="53">
        <v>748072.81221004401</v>
      </c>
      <c r="AD43" s="53"/>
      <c r="AE43" s="53">
        <v>345342.27280496701</v>
      </c>
      <c r="AF43" s="53"/>
    </row>
    <row r="44" spans="2:32">
      <c r="B44" s="23" t="s">
        <v>96</v>
      </c>
      <c r="C44" s="55">
        <f t="shared" ref="C44:M44" si="27">C37-C40</f>
        <v>-531936.15</v>
      </c>
      <c r="D44" s="56"/>
      <c r="E44" s="55">
        <f t="shared" si="27"/>
        <v>-571141.93999999994</v>
      </c>
      <c r="F44" s="56"/>
      <c r="G44" s="55">
        <f t="shared" si="27"/>
        <v>49735312.149999999</v>
      </c>
      <c r="H44" s="56"/>
      <c r="I44" s="55">
        <f t="shared" si="27"/>
        <v>-689593.1399999999</v>
      </c>
      <c r="J44" s="56"/>
      <c r="K44" s="55">
        <f t="shared" si="27"/>
        <v>-3723959.67</v>
      </c>
      <c r="L44" s="56"/>
      <c r="M44" s="55">
        <f t="shared" si="27"/>
        <v>53716346.939999998</v>
      </c>
      <c r="N44" s="56"/>
      <c r="O44" s="55">
        <f t="shared" ref="O44" si="28">O37-O40</f>
        <v>-3051316.44</v>
      </c>
      <c r="P44" s="56"/>
      <c r="Q44" s="55">
        <f t="shared" ref="Q44" si="29">Q37-Q40</f>
        <v>-634000</v>
      </c>
      <c r="R44" s="56"/>
      <c r="S44" s="55">
        <f t="shared" ref="S44" si="30">S37-S40</f>
        <v>-1063000</v>
      </c>
      <c r="T44" s="56"/>
      <c r="U44" s="55">
        <f t="shared" ref="U44" si="31">U37-U40</f>
        <v>-514095.78463482967</v>
      </c>
      <c r="V44" s="56"/>
      <c r="W44" s="55">
        <f t="shared" ref="W44" si="32">W37-W40</f>
        <v>7082343.1000000015</v>
      </c>
      <c r="X44" s="56"/>
      <c r="Y44" s="55">
        <f t="shared" ref="Y44" si="33">Y37-Y40</f>
        <v>-826000</v>
      </c>
      <c r="Z44" s="56"/>
      <c r="AA44" s="55">
        <f t="shared" ref="AA44" si="34">AA37-AA40</f>
        <v>9105198</v>
      </c>
      <c r="AB44" s="56"/>
      <c r="AC44" s="55">
        <f t="shared" ref="AC44" si="35">AC37-AC40</f>
        <v>1712199.2926500067</v>
      </c>
      <c r="AD44" s="56"/>
      <c r="AE44" s="55">
        <f t="shared" ref="AE44" si="36">AE37-AE40</f>
        <v>56194.64079999947</v>
      </c>
      <c r="AF44" s="56"/>
    </row>
    <row r="45" spans="2:32">
      <c r="B45" s="2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2:32" ht="13.5" thickBot="1">
      <c r="B46" s="28" t="s">
        <v>97</v>
      </c>
      <c r="C46" s="58">
        <f>SUM(C27,C34,C44)</f>
        <v>-5806320.9200000018</v>
      </c>
      <c r="D46" s="59"/>
      <c r="E46" s="58">
        <f t="shared" ref="C46:M46" si="37">SUM(E27,E34,E44)</f>
        <v>26550465.07</v>
      </c>
      <c r="F46" s="59"/>
      <c r="G46" s="58">
        <f t="shared" si="37"/>
        <v>-2778088.8399999961</v>
      </c>
      <c r="H46" s="59"/>
      <c r="I46" s="58">
        <f t="shared" si="37"/>
        <v>-7372336.6199999992</v>
      </c>
      <c r="J46" s="59"/>
      <c r="K46" s="58">
        <f t="shared" si="37"/>
        <v>-5033085.5482443115</v>
      </c>
      <c r="L46" s="59"/>
      <c r="M46" s="58">
        <f t="shared" si="37"/>
        <v>42642869.118244313</v>
      </c>
      <c r="N46" s="59"/>
      <c r="O46" s="58">
        <f t="shared" ref="O46" si="38">SUM(O27,O34,O44)</f>
        <v>-4965270.3699999982</v>
      </c>
      <c r="P46" s="59"/>
      <c r="Q46" s="58">
        <f t="shared" ref="Q46" si="39">SUM(Q27,Q34,Q44)</f>
        <v>-2767000</v>
      </c>
      <c r="R46" s="59"/>
      <c r="S46" s="58">
        <f t="shared" ref="S46" si="40">SUM(S27,S34,S44)</f>
        <v>2495378.7875219923</v>
      </c>
      <c r="T46" s="59"/>
      <c r="U46" s="58">
        <f t="shared" ref="U46" si="41">SUM(U27,U34,U44)</f>
        <v>-4664719.1775219897</v>
      </c>
      <c r="V46" s="59"/>
      <c r="W46" s="58">
        <f t="shared" ref="W46" si="42">SUM(W27,W34,W44)</f>
        <v>13721613.817151364</v>
      </c>
      <c r="X46" s="59"/>
      <c r="Y46" s="58">
        <f t="shared" ref="Y46" si="43">SUM(Y27,Y34,Y44)</f>
        <v>-2006000</v>
      </c>
      <c r="Z46" s="59"/>
      <c r="AA46" s="58">
        <f t="shared" ref="AA46" si="44">SUM(AA27,AA34,AA44)</f>
        <v>6323992.2631542515</v>
      </c>
      <c r="AB46" s="59"/>
      <c r="AC46" s="58">
        <f t="shared" ref="AC46" si="45">SUM(AC27,AC34,AC44)</f>
        <v>-67496.237684594234</v>
      </c>
      <c r="AD46" s="59"/>
      <c r="AE46" s="58">
        <f t="shared" ref="AE46" si="46">SUM(AE27,AE34,AE44)</f>
        <v>47530.888718008879</v>
      </c>
      <c r="AF46" s="59"/>
    </row>
    <row r="47" spans="2:32">
      <c r="B47" s="25" t="s">
        <v>98</v>
      </c>
      <c r="C47" s="60">
        <f>C46</f>
        <v>-5806320.9200000018</v>
      </c>
      <c r="D47" s="60"/>
      <c r="E47" s="60">
        <v>26550465.07</v>
      </c>
      <c r="F47" s="60"/>
      <c r="G47" s="60">
        <f>G46</f>
        <v>-2778088.8399999961</v>
      </c>
      <c r="H47" s="60"/>
      <c r="I47" s="60">
        <f>I46</f>
        <v>-7372336.6199999992</v>
      </c>
      <c r="J47" s="60"/>
      <c r="K47" s="60">
        <f>K46</f>
        <v>-5033085.5482443115</v>
      </c>
      <c r="L47" s="60"/>
      <c r="M47" s="60">
        <f>M46</f>
        <v>42642869.118244313</v>
      </c>
      <c r="N47" s="60"/>
      <c r="O47" s="60">
        <f>O46</f>
        <v>-4965270.3699999982</v>
      </c>
      <c r="P47" s="60"/>
      <c r="Q47" s="60">
        <f>Q46</f>
        <v>-2767000</v>
      </c>
      <c r="R47" s="60"/>
      <c r="S47" s="60">
        <f>S46</f>
        <v>2495378.7875219923</v>
      </c>
      <c r="T47" s="60"/>
      <c r="U47" s="60">
        <f>U46</f>
        <v>-4664719.1775219897</v>
      </c>
      <c r="V47" s="60"/>
      <c r="W47" s="60">
        <f>W46</f>
        <v>13721613.817151364</v>
      </c>
      <c r="X47" s="60"/>
      <c r="Y47" s="60">
        <f>Y46</f>
        <v>-2006000</v>
      </c>
      <c r="Z47" s="60"/>
      <c r="AA47" s="60">
        <f>AA46</f>
        <v>6323992.2631542515</v>
      </c>
      <c r="AB47" s="60"/>
      <c r="AC47" s="60">
        <f>AC46</f>
        <v>-67496.237684594234</v>
      </c>
      <c r="AD47" s="60"/>
      <c r="AE47" s="60">
        <f>AE46</f>
        <v>47530.888718008879</v>
      </c>
      <c r="AF47" s="60"/>
    </row>
    <row r="48" spans="2:32">
      <c r="B48" s="29" t="s">
        <v>99</v>
      </c>
      <c r="C48" s="60">
        <f>E49</f>
        <v>32728273.789999999</v>
      </c>
      <c r="D48" s="60"/>
      <c r="E48" s="60">
        <v>6177808.7199999988</v>
      </c>
      <c r="F48" s="60"/>
      <c r="G48" s="60">
        <v>8955897.5584255531</v>
      </c>
      <c r="H48" s="60"/>
      <c r="I48" s="60">
        <v>46565681.130000003</v>
      </c>
      <c r="J48" s="60"/>
      <c r="K48" s="60">
        <v>51598766.676669866</v>
      </c>
      <c r="L48" s="60"/>
      <c r="M48" s="60">
        <v>8955897.5584255531</v>
      </c>
      <c r="N48" s="60"/>
      <c r="O48" s="60">
        <v>13921167.92842555</v>
      </c>
      <c r="P48" s="60"/>
      <c r="Q48" s="60">
        <v>11752000</v>
      </c>
      <c r="R48" s="60"/>
      <c r="S48" s="60">
        <v>9256219.9700000007</v>
      </c>
      <c r="T48" s="60"/>
      <c r="U48" s="60">
        <v>13921167.92842555</v>
      </c>
      <c r="V48" s="60"/>
      <c r="W48" s="60">
        <v>199554.12103341473</v>
      </c>
      <c r="X48" s="60"/>
      <c r="Y48" s="60">
        <v>6349000</v>
      </c>
      <c r="Z48" s="60"/>
      <c r="AA48" s="60">
        <v>24715.96</v>
      </c>
      <c r="AB48" s="60"/>
      <c r="AC48" s="60">
        <v>267050.35871800897</v>
      </c>
      <c r="AD48" s="60"/>
      <c r="AE48" s="60">
        <v>219519.47</v>
      </c>
      <c r="AF48" s="60"/>
    </row>
    <row r="49" spans="2:32" ht="13.5" thickBot="1">
      <c r="B49" s="28" t="s">
        <v>100</v>
      </c>
      <c r="C49" s="58">
        <f>C48+C46</f>
        <v>26921952.869999997</v>
      </c>
      <c r="D49" s="59"/>
      <c r="E49" s="58">
        <f>E48+E46</f>
        <v>32728273.789999999</v>
      </c>
      <c r="F49" s="59"/>
      <c r="G49" s="58">
        <f>G48+G46</f>
        <v>6177808.718425557</v>
      </c>
      <c r="H49" s="59"/>
      <c r="I49" s="58">
        <f>I48+I46</f>
        <v>39193344.510000005</v>
      </c>
      <c r="J49" s="59"/>
      <c r="K49" s="58">
        <f>K48+K46</f>
        <v>46565681.128425553</v>
      </c>
      <c r="L49" s="59"/>
      <c r="M49" s="58">
        <f>M48+M46</f>
        <v>51598766.676669866</v>
      </c>
      <c r="N49" s="59"/>
      <c r="O49" s="58">
        <f>O48+O46</f>
        <v>8955897.5584255531</v>
      </c>
      <c r="P49" s="59"/>
      <c r="Q49" s="58">
        <f>Q48+Q46</f>
        <v>8985000</v>
      </c>
      <c r="R49" s="59"/>
      <c r="S49" s="58">
        <f>S48+S46</f>
        <v>11751598.757521993</v>
      </c>
      <c r="T49" s="59"/>
      <c r="U49" s="58">
        <f>U48+U46</f>
        <v>9256448.7509035617</v>
      </c>
      <c r="V49" s="59"/>
      <c r="W49" s="58">
        <f>W48+W46</f>
        <v>13921167.938184779</v>
      </c>
      <c r="X49" s="59"/>
      <c r="Y49" s="58">
        <f>Y48+Y46</f>
        <v>4343000</v>
      </c>
      <c r="Z49" s="59"/>
      <c r="AA49" s="58">
        <f>AA48+AA46</f>
        <v>6348708.2231542515</v>
      </c>
      <c r="AB49" s="59"/>
      <c r="AC49" s="58">
        <f>AC48+AC46</f>
        <v>199554.12103341473</v>
      </c>
      <c r="AD49" s="59"/>
      <c r="AE49" s="58">
        <f>AE48+AE46</f>
        <v>267050.35871800885</v>
      </c>
      <c r="AF49" s="59"/>
    </row>
    <row r="51" spans="2:32">
      <c r="C51" s="22">
        <f>C49-BILANS!C17</f>
        <v>0</v>
      </c>
      <c r="E51" s="22">
        <f>E49-BILANS!E17</f>
        <v>0</v>
      </c>
      <c r="G51" s="22">
        <f>G49-BILANS!G17</f>
        <v>-1.5744417905807495E-3</v>
      </c>
      <c r="I51" s="22">
        <f>I49-BILANS!I17</f>
        <v>0</v>
      </c>
      <c r="K51" s="22">
        <f>K49-BILANS!K17</f>
        <v>-1.5744492411613464E-3</v>
      </c>
      <c r="M51" s="22">
        <f>M49-BILANS!M17</f>
        <v>-3.330133855342865E-3</v>
      </c>
      <c r="O51" s="22">
        <f>O49-BILANS!O17</f>
        <v>-1.5744473785161972E-3</v>
      </c>
      <c r="Q51" s="22">
        <f>Q49-BILANS!Q17</f>
        <v>0</v>
      </c>
      <c r="S51" s="22"/>
      <c r="U51" s="22"/>
      <c r="W51" s="22"/>
      <c r="Y51" s="22"/>
      <c r="AA51" s="22"/>
      <c r="AC51" s="22"/>
      <c r="AE51" s="2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25276ACE098429F4288908E973E72" ma:contentTypeVersion="16" ma:contentTypeDescription="Utwórz nowy dokument." ma:contentTypeScope="" ma:versionID="1a140b1b9108637ac7bf3759280b910f">
  <xsd:schema xmlns:xsd="http://www.w3.org/2001/XMLSchema" xmlns:xs="http://www.w3.org/2001/XMLSchema" xmlns:p="http://schemas.microsoft.com/office/2006/metadata/properties" xmlns:ns2="e4c0cdc5-21c6-4d78-8fda-6b2898e0852d" xmlns:ns3="2e762761-550d-4687-bd85-1f0d7b97ab6a" targetNamespace="http://schemas.microsoft.com/office/2006/metadata/properties" ma:root="true" ma:fieldsID="8002e000edda59f9123992b3d4ca7548" ns2:_="" ns3:_="">
    <xsd:import namespace="e4c0cdc5-21c6-4d78-8fda-6b2898e0852d"/>
    <xsd:import namespace="2e762761-550d-4687-bd85-1f0d7b97a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0cdc5-21c6-4d78-8fda-6b2898e08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f839c2d-e0a8-4e53-b085-d32ef32c49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62761-550d-4687-bd85-1f0d7b97a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e9c150-a9d8-4033-8a41-d3ab5709d23e}" ma:internalName="TaxCatchAll" ma:showField="CatchAllData" ma:web="2e762761-550d-4687-bd85-1f0d7b97ab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762761-550d-4687-bd85-1f0d7b97ab6a">
      <UserInfo>
        <DisplayName>Martyna Koj</DisplayName>
        <AccountId>17</AccountId>
        <AccountType/>
      </UserInfo>
    </SharedWithUsers>
    <TaxCatchAll xmlns="2e762761-550d-4687-bd85-1f0d7b97ab6a" xsi:nil="true"/>
    <lcf76f155ced4ddcb4097134ff3c332f xmlns="e4c0cdc5-21c6-4d78-8fda-6b2898e085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DC6C3-F8B3-4FEE-B12E-345097D332CB}"/>
</file>

<file path=customXml/itemProps2.xml><?xml version="1.0" encoding="utf-8"?>
<ds:datastoreItem xmlns:ds="http://schemas.openxmlformats.org/officeDocument/2006/customXml" ds:itemID="{9B2178F3-8C59-43CA-B773-04A0D446793B}">
  <ds:schemaRefs>
    <ds:schemaRef ds:uri="ba0c0c2a-c7ea-4c8b-a83b-59d234102916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732fee3-c519-4f87-a0e3-bfc96868250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4C7C091-CF84-423D-A241-5B13466C2E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RZiS</vt:lpstr>
      <vt:lpstr>BILANS</vt:lpstr>
      <vt:lpstr>RPP</vt:lpstr>
      <vt:lpstr>BILANS!_Toc53504362</vt:lpstr>
      <vt:lpstr>RZiS!Obszar_wydruku</vt:lpstr>
    </vt:vector>
  </TitlesOfParts>
  <Manager/>
  <Company>elma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r.harwas@purebiologics.com</dc:creator>
  <cp:keywords/>
  <dc:description/>
  <cp:lastModifiedBy>Grzegorz Tkacz</cp:lastModifiedBy>
  <cp:revision/>
  <cp:lastPrinted>2021-03-15T09:18:36Z</cp:lastPrinted>
  <dcterms:created xsi:type="dcterms:W3CDTF">2010-07-15T10:24:00Z</dcterms:created>
  <dcterms:modified xsi:type="dcterms:W3CDTF">2022-09-19T13:25:42Z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1045-10.2.0.5871</vt:lpwstr>
  </property>
  <property fmtid="{D5CDD505-2E9C-101B-9397-08002B2CF9AE}" pid="3" name="ContentTypeId">
    <vt:lpwstr>0x01010060FA33A8B09A5E4997DF1F92D3D5857A</vt:lpwstr>
  </property>
</Properties>
</file>